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学科服务\服务推送\期刊推送\2023推送\2023ESI期刊（带影响因子）\ESI期刊列表（带影响因子）202311\"/>
    </mc:Choice>
  </mc:AlternateContent>
  <bookViews>
    <workbookView xWindow="0" yWindow="0" windowWidth="2880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7" i="1" l="1"/>
  <c r="D384" i="1" l="1"/>
  <c r="D593" i="1"/>
  <c r="D630" i="1"/>
  <c r="D335" i="1"/>
  <c r="D870" i="1"/>
  <c r="D434" i="1"/>
  <c r="D334" i="1"/>
  <c r="D551" i="1"/>
  <c r="D661" i="1"/>
  <c r="D460" i="1"/>
  <c r="D36" i="1"/>
  <c r="D55" i="1"/>
  <c r="D90" i="1"/>
  <c r="D592" i="1"/>
  <c r="D660" i="1"/>
  <c r="D629" i="1"/>
  <c r="D845" i="1"/>
  <c r="D177" i="1"/>
  <c r="D570" i="1"/>
  <c r="D325" i="1"/>
  <c r="D459" i="1"/>
  <c r="D213" i="1"/>
  <c r="D729" i="1"/>
  <c r="D458" i="1"/>
  <c r="D906" i="1"/>
  <c r="D152" i="1"/>
  <c r="D844" i="1"/>
  <c r="D569" i="1"/>
  <c r="D826" i="1"/>
  <c r="D481" i="1"/>
  <c r="D137" i="1"/>
  <c r="D712" i="1"/>
  <c r="D109" i="1"/>
  <c r="D792" i="1"/>
  <c r="D728" i="1"/>
  <c r="D765" i="1"/>
  <c r="D609" i="1"/>
  <c r="D206" i="1"/>
  <c r="D21" i="1"/>
  <c r="D49" i="1"/>
  <c r="D136" i="1"/>
  <c r="D412" i="1"/>
  <c r="D856" i="1"/>
  <c r="D33" i="1"/>
  <c r="D373" i="1"/>
  <c r="D171" i="1"/>
  <c r="D190" i="1"/>
  <c r="D241" i="1"/>
  <c r="D18" i="1"/>
  <c r="D251" i="1"/>
  <c r="D433" i="1"/>
  <c r="D127" i="1"/>
  <c r="D400" i="1"/>
  <c r="D399" i="1"/>
  <c r="D411" i="1"/>
  <c r="D240" i="1"/>
  <c r="D44" i="1"/>
  <c r="D764" i="1"/>
  <c r="D843" i="1"/>
  <c r="D480" i="1"/>
  <c r="D842" i="1"/>
  <c r="D727" i="1"/>
  <c r="D506" i="1"/>
  <c r="D807" i="1"/>
  <c r="D884" i="1"/>
  <c r="D763" i="1"/>
  <c r="D905" i="1"/>
  <c r="D126" i="1"/>
  <c r="D608" i="1"/>
  <c r="D855" i="1"/>
  <c r="D42" i="1"/>
  <c r="D333" i="1"/>
  <c r="D791" i="1"/>
  <c r="D869" i="1"/>
  <c r="D899" i="1"/>
  <c r="D854" i="1"/>
  <c r="D790" i="1"/>
  <c r="D79" i="1"/>
  <c r="D223" i="1"/>
  <c r="D346" i="1"/>
  <c r="D278" i="1"/>
  <c r="D222" i="1"/>
  <c r="D184" i="1"/>
  <c r="D229" i="1"/>
  <c r="D303" i="1"/>
  <c r="D628" i="1"/>
  <c r="D89" i="1"/>
  <c r="D297" i="1"/>
  <c r="D659" i="1"/>
  <c r="D158" i="1"/>
  <c r="D302" i="1"/>
  <c r="D762" i="1"/>
  <c r="D324" i="1"/>
  <c r="D726" i="1"/>
  <c r="D108" i="1"/>
  <c r="D658" i="1"/>
  <c r="D250" i="1"/>
  <c r="D15" i="1"/>
  <c r="D689" i="1"/>
  <c r="D825" i="1"/>
  <c r="D147" i="1"/>
  <c r="D761" i="1"/>
  <c r="D260" i="1"/>
  <c r="D824" i="1"/>
  <c r="D532" i="1"/>
  <c r="D272" i="1"/>
  <c r="D205" i="1"/>
  <c r="D711" i="1"/>
  <c r="D627" i="1"/>
  <c r="D239" i="1"/>
  <c r="D505" i="1"/>
  <c r="D271" i="1"/>
  <c r="D238" i="1"/>
  <c r="D760" i="1"/>
  <c r="D607" i="1"/>
  <c r="D747" i="1"/>
  <c r="D853" i="1"/>
  <c r="D841" i="1"/>
  <c r="D725" i="1"/>
  <c r="D868" i="1"/>
  <c r="D410" i="1"/>
  <c r="D270" i="1"/>
  <c r="D550" i="1"/>
  <c r="D359" i="1"/>
  <c r="D47" i="1"/>
  <c r="D457" i="1"/>
  <c r="D823" i="1"/>
  <c r="D198" i="1"/>
  <c r="D96" i="1"/>
  <c r="D894" i="1"/>
  <c r="D296" i="1"/>
  <c r="D657" i="1"/>
  <c r="D822" i="1"/>
  <c r="D183" i="1"/>
  <c r="D789" i="1"/>
  <c r="D332" i="1"/>
  <c r="D68" i="1"/>
  <c r="D398" i="1"/>
  <c r="D840" i="1"/>
  <c r="D788" i="1"/>
  <c r="D591" i="1"/>
  <c r="D358" i="1"/>
  <c r="D806" i="1"/>
  <c r="D228" i="1"/>
  <c r="D409" i="1"/>
  <c r="D710" i="1"/>
  <c r="D295" i="1"/>
  <c r="D479" i="1"/>
  <c r="D709" i="1"/>
  <c r="D294" i="1"/>
  <c r="D626" i="1"/>
  <c r="D893" i="1"/>
  <c r="D839" i="1"/>
  <c r="D397" i="1"/>
  <c r="D898" i="1"/>
  <c r="D787" i="1"/>
  <c r="D746" i="1"/>
  <c r="D372" i="1"/>
  <c r="D53" i="1"/>
  <c r="D170" i="1"/>
  <c r="D114" i="1"/>
  <c r="D41" i="1"/>
  <c r="D432" i="1"/>
  <c r="D157" i="1"/>
  <c r="D176" i="1"/>
  <c r="D301" i="1"/>
  <c r="D396" i="1"/>
  <c r="D293" i="1"/>
  <c r="D67" i="1"/>
  <c r="D197" i="1"/>
  <c r="D300" i="1"/>
  <c r="D23" i="1"/>
  <c r="D357" i="1"/>
  <c r="D74" i="1"/>
  <c r="D134" i="1"/>
  <c r="D688" i="1"/>
  <c r="D277" i="1"/>
  <c r="D165" i="1"/>
  <c r="D838" i="1"/>
  <c r="D478" i="1"/>
  <c r="D431" i="1"/>
  <c r="D146" i="1"/>
  <c r="D156" i="1"/>
  <c r="D656" i="1"/>
  <c r="D867" i="1"/>
  <c r="D625" i="1"/>
  <c r="D504" i="1"/>
  <c r="D408" i="1"/>
  <c r="D189" i="1"/>
  <c r="D95" i="1"/>
  <c r="D883" i="1"/>
  <c r="D503" i="1"/>
  <c r="D29" i="1"/>
  <c r="D606" i="1"/>
  <c r="D502" i="1"/>
  <c r="D501" i="1"/>
  <c r="D345" i="1"/>
  <c r="D568" i="1"/>
  <c r="D805" i="1"/>
  <c r="D269" i="1"/>
  <c r="D456" i="1"/>
  <c r="D125" i="1"/>
  <c r="D249" i="1"/>
  <c r="D331" i="1"/>
  <c r="D500" i="1"/>
  <c r="D687" i="1"/>
  <c r="D371" i="1"/>
  <c r="D499" i="1"/>
  <c r="D59" i="1"/>
  <c r="D212" i="1"/>
  <c r="D78" i="1"/>
  <c r="D383" i="1"/>
  <c r="D382" i="1"/>
  <c r="D430" i="1"/>
  <c r="D549" i="1"/>
  <c r="D498" i="1"/>
  <c r="D821" i="1"/>
  <c r="D708" i="1"/>
  <c r="D786" i="1"/>
  <c r="D785" i="1"/>
  <c r="D107" i="1"/>
  <c r="D395" i="1"/>
  <c r="D344" i="1"/>
  <c r="D227" i="1"/>
  <c r="D389" i="1"/>
  <c r="D88" i="1"/>
  <c r="D655" i="1"/>
  <c r="D820" i="1"/>
  <c r="D211" i="1"/>
  <c r="D292" i="1"/>
  <c r="D897" i="1"/>
  <c r="D370" i="1"/>
  <c r="D204" i="1"/>
  <c r="D226" i="1"/>
  <c r="D686" i="1"/>
  <c r="D141" i="1"/>
  <c r="D567" i="1"/>
  <c r="D784" i="1"/>
  <c r="D22" i="1"/>
  <c r="D548" i="1"/>
  <c r="D531" i="1"/>
  <c r="D654" i="1"/>
  <c r="D237" i="1"/>
  <c r="D497" i="1"/>
  <c r="D291" i="1"/>
  <c r="D323" i="1"/>
  <c r="D330" i="1"/>
  <c r="D259" i="1"/>
  <c r="D590" i="1"/>
  <c r="D103" i="1"/>
  <c r="D225" i="1"/>
  <c r="D145" i="1"/>
  <c r="D394" i="1"/>
  <c r="D196" i="1"/>
  <c r="D129" i="1"/>
  <c r="D837" i="1"/>
  <c r="D566" i="1"/>
  <c r="D124" i="1"/>
  <c r="D322" i="1"/>
  <c r="D155" i="1"/>
  <c r="D268" i="1"/>
  <c r="D388" i="1"/>
  <c r="D195" i="1"/>
  <c r="D86" i="1"/>
  <c r="D164" i="1"/>
  <c r="D530" i="1"/>
  <c r="D343" i="1"/>
  <c r="D221" i="1"/>
  <c r="D745" i="1"/>
  <c r="D321" i="1"/>
  <c r="D407" i="1"/>
  <c r="D11" i="1"/>
  <c r="D144" i="1"/>
  <c r="D175" i="1"/>
  <c r="D248" i="1"/>
  <c r="D290" i="1"/>
  <c r="D16" i="1"/>
  <c r="D381" i="1"/>
  <c r="D547" i="1"/>
  <c r="D236" i="1"/>
  <c r="D143" i="1"/>
  <c r="D106" i="1"/>
  <c r="D151" i="1"/>
  <c r="D182" i="1"/>
  <c r="D220" i="1"/>
  <c r="D61" i="1"/>
  <c r="D181" i="1"/>
  <c r="D235" i="1"/>
  <c r="D546" i="1"/>
  <c r="D163" i="1"/>
  <c r="D393" i="1"/>
  <c r="D247" i="1"/>
  <c r="D258" i="1"/>
  <c r="D203" i="1"/>
  <c r="D589" i="1"/>
  <c r="D380" i="1"/>
  <c r="D455" i="1"/>
  <c r="D565" i="1"/>
  <c r="D379" i="1"/>
  <c r="D194" i="1"/>
  <c r="D28" i="1"/>
  <c r="D320" i="1"/>
  <c r="D39" i="1"/>
  <c r="D83" i="1"/>
  <c r="D25" i="1"/>
  <c r="D234" i="1"/>
  <c r="D150" i="1"/>
  <c r="D58" i="1"/>
  <c r="D66" i="1"/>
  <c r="D52" i="1"/>
  <c r="D246" i="1"/>
  <c r="D496" i="1"/>
  <c r="D118" i="1"/>
  <c r="D193" i="1"/>
  <c r="D8" i="1"/>
  <c r="D233" i="1"/>
  <c r="D113" i="1"/>
  <c r="D117" i="1"/>
  <c r="D653" i="1"/>
  <c r="D138" i="1"/>
  <c r="D81" i="1"/>
  <c r="D429" i="1"/>
  <c r="D369" i="1"/>
  <c r="D162" i="1"/>
  <c r="D46" i="1"/>
  <c r="D54" i="1"/>
  <c r="D57" i="1"/>
  <c r="D368" i="1"/>
  <c r="D100" i="1"/>
  <c r="D319" i="1"/>
  <c r="D105" i="1"/>
  <c r="D406" i="1"/>
  <c r="D71" i="1"/>
  <c r="D161" i="1"/>
  <c r="D123" i="1"/>
  <c r="D30" i="1"/>
  <c r="D804" i="1"/>
  <c r="D836" i="1"/>
  <c r="D882" i="1"/>
  <c r="D881" i="1"/>
  <c r="D744" i="1"/>
  <c r="D685" i="1"/>
  <c r="D454" i="1"/>
  <c r="D652" i="1"/>
  <c r="D529" i="1"/>
  <c r="D477" i="1"/>
  <c r="D528" i="1"/>
  <c r="D428" i="1"/>
  <c r="D651" i="1"/>
  <c r="D684" i="1"/>
  <c r="D588" i="1"/>
  <c r="D453" i="1"/>
  <c r="D724" i="1"/>
  <c r="D650" i="1"/>
  <c r="D707" i="1"/>
  <c r="D495" i="1"/>
  <c r="D452" i="1"/>
  <c r="D706" i="1"/>
  <c r="D210" i="1"/>
  <c r="D819" i="1"/>
  <c r="D140" i="1"/>
  <c r="D683" i="1"/>
  <c r="D154" i="1"/>
  <c r="D624" i="1"/>
  <c r="D743" i="1"/>
  <c r="D759" i="1"/>
  <c r="D866" i="1"/>
  <c r="D451" i="1"/>
  <c r="D803" i="1"/>
  <c r="D783" i="1"/>
  <c r="D682" i="1"/>
  <c r="D865" i="1"/>
  <c r="D852" i="1"/>
  <c r="D476" i="1"/>
  <c r="D99" i="1"/>
  <c r="D723" i="1"/>
  <c r="D392" i="1"/>
  <c r="D623" i="1"/>
  <c r="D802" i="1"/>
  <c r="D378" i="1"/>
  <c r="D342" i="1"/>
  <c r="D527" i="1"/>
  <c r="D801" i="1"/>
  <c r="D649" i="1"/>
  <c r="D722" i="1"/>
  <c r="D705" i="1"/>
  <c r="D864" i="1"/>
  <c r="D329" i="1"/>
  <c r="D494" i="1"/>
  <c r="D681" i="1"/>
  <c r="D680" i="1"/>
  <c r="D526" i="1"/>
  <c r="D648" i="1"/>
  <c r="D564" i="1"/>
  <c r="D563" i="1"/>
  <c r="D742" i="1"/>
  <c r="D647" i="1"/>
  <c r="D267" i="1"/>
  <c r="D622" i="1"/>
  <c r="D10" i="1"/>
  <c r="D341" i="1"/>
  <c r="D562" i="1"/>
  <c r="D367" i="1"/>
  <c r="D605" i="1"/>
  <c r="D318" i="1"/>
  <c r="D257" i="1"/>
  <c r="D174" i="1"/>
  <c r="D741" i="1"/>
  <c r="D219" i="1"/>
  <c r="D475" i="1"/>
  <c r="D800" i="1"/>
  <c r="D116" i="1"/>
  <c r="D740" i="1"/>
  <c r="D17" i="1"/>
  <c r="D474" i="1"/>
  <c r="D245" i="1"/>
  <c r="D307" i="1"/>
  <c r="D356" i="1"/>
  <c r="D289" i="1"/>
  <c r="D450" i="1"/>
  <c r="D173" i="1"/>
  <c r="D863" i="1"/>
  <c r="D704" i="1"/>
  <c r="D93" i="1"/>
  <c r="D355" i="1"/>
  <c r="D180" i="1"/>
  <c r="D354" i="1"/>
  <c r="D782" i="1"/>
  <c r="D377" i="1"/>
  <c r="D98" i="1"/>
  <c r="D202" i="1"/>
  <c r="D525" i="1"/>
  <c r="D19" i="1"/>
  <c r="D892" i="1"/>
  <c r="D92" i="1"/>
  <c r="D721" i="1"/>
  <c r="D720" i="1"/>
  <c r="D299" i="1"/>
  <c r="D545" i="1"/>
  <c r="D366" i="1"/>
  <c r="D703" i="1"/>
  <c r="D256" i="1"/>
  <c r="D679" i="1"/>
  <c r="D835" i="1"/>
  <c r="D862" i="1"/>
  <c r="D153" i="1"/>
  <c r="D298" i="1"/>
  <c r="D604" i="1"/>
  <c r="D43" i="1"/>
  <c r="D603" i="1"/>
  <c r="D255" i="1"/>
  <c r="D387" i="1"/>
  <c r="D27" i="1"/>
  <c r="D51" i="1"/>
  <c r="D276" i="1"/>
  <c r="D288" i="1"/>
  <c r="D646" i="1"/>
  <c r="D818" i="1"/>
  <c r="D50" i="1"/>
  <c r="D287" i="1"/>
  <c r="D391" i="1"/>
  <c r="D209" i="1"/>
  <c r="D317" i="1"/>
  <c r="D678" i="1"/>
  <c r="D702" i="1"/>
  <c r="D316" i="1"/>
  <c r="D834" i="1"/>
  <c r="D244" i="1"/>
  <c r="D254" i="1"/>
  <c r="D224" i="1"/>
  <c r="D817" i="1"/>
  <c r="D880" i="1"/>
  <c r="D701" i="1"/>
  <c r="D524" i="1"/>
  <c r="D645" i="1"/>
  <c r="D493" i="1"/>
  <c r="D739" i="1"/>
  <c r="D91" i="1"/>
  <c r="D879" i="1"/>
  <c r="D896" i="1"/>
  <c r="D4" i="1"/>
  <c r="D851" i="1"/>
  <c r="D816" i="1"/>
  <c r="D523" i="1"/>
  <c r="D492" i="1"/>
  <c r="D700" i="1"/>
  <c r="D544" i="1"/>
  <c r="D799" i="1"/>
  <c r="D449" i="1"/>
  <c r="D738" i="1"/>
  <c r="D522" i="1"/>
  <c r="D644" i="1"/>
  <c r="D275" i="1"/>
  <c r="D315" i="1"/>
  <c r="D122" i="1"/>
  <c r="D473" i="1"/>
  <c r="D587" i="1"/>
  <c r="D699" i="1"/>
  <c r="D243" i="1"/>
  <c r="D677" i="1"/>
  <c r="D232" i="1"/>
  <c r="D34" i="1"/>
  <c r="D586" i="1"/>
  <c r="D585" i="1"/>
  <c r="D192" i="1"/>
  <c r="D561" i="1"/>
  <c r="D376" i="1"/>
  <c r="D102" i="1"/>
  <c r="D179" i="1"/>
  <c r="D266" i="1"/>
  <c r="D643" i="1"/>
  <c r="D815" i="1"/>
  <c r="D448" i="1"/>
  <c r="D584" i="1"/>
  <c r="D602" i="1"/>
  <c r="D833" i="1"/>
  <c r="D472" i="1"/>
  <c r="D521" i="1"/>
  <c r="D737" i="1"/>
  <c r="D781" i="1"/>
  <c r="D676" i="1"/>
  <c r="D814" i="1"/>
  <c r="D621" i="1"/>
  <c r="D543" i="1"/>
  <c r="D832" i="1"/>
  <c r="D386" i="1"/>
  <c r="D48" i="1"/>
  <c r="D201" i="1"/>
  <c r="D427" i="1"/>
  <c r="D340" i="1"/>
  <c r="D698" i="1"/>
  <c r="D736" i="1"/>
  <c r="D353" i="1"/>
  <c r="D798" i="1"/>
  <c r="D831" i="1"/>
  <c r="D520" i="1"/>
  <c r="D82" i="1"/>
  <c r="D542" i="1"/>
  <c r="D339" i="1"/>
  <c r="D65" i="1"/>
  <c r="D306" i="1"/>
  <c r="D314" i="1"/>
  <c r="D583" i="1"/>
  <c r="D780" i="1"/>
  <c r="D286" i="1"/>
  <c r="D620" i="1"/>
  <c r="D447" i="1"/>
  <c r="D20" i="1"/>
  <c r="D491" i="1"/>
  <c r="D519" i="1"/>
  <c r="D471" i="1"/>
  <c r="D490" i="1"/>
  <c r="D121" i="1"/>
  <c r="D797" i="1"/>
  <c r="D735" i="1"/>
  <c r="D14" i="1"/>
  <c r="D390" i="1"/>
  <c r="D352" i="1"/>
  <c r="D351" i="1"/>
  <c r="D64" i="1"/>
  <c r="D313" i="1"/>
  <c r="D446" i="1"/>
  <c r="D560" i="1"/>
  <c r="D208" i="1"/>
  <c r="D518" i="1"/>
  <c r="D87" i="1"/>
  <c r="D131" i="1"/>
  <c r="D274" i="1"/>
  <c r="D26" i="1"/>
  <c r="D84" i="1"/>
  <c r="D445" i="1"/>
  <c r="D444" i="1"/>
  <c r="D878" i="1"/>
  <c r="D365" i="1"/>
  <c r="D350" i="1"/>
  <c r="D675" i="1"/>
  <c r="D642" i="1"/>
  <c r="D813" i="1"/>
  <c r="D443" i="1"/>
  <c r="D517" i="1"/>
  <c r="D426" i="1"/>
  <c r="D516" i="1"/>
  <c r="D697" i="1"/>
  <c r="D128" i="1"/>
  <c r="D861" i="1"/>
  <c r="D489" i="1"/>
  <c r="D375" i="1"/>
  <c r="D374" i="1"/>
  <c r="D758" i="1"/>
  <c r="D94" i="1"/>
  <c r="D674" i="1"/>
  <c r="D891" i="1"/>
  <c r="D601" i="1"/>
  <c r="D470" i="1"/>
  <c r="D582" i="1"/>
  <c r="D515" i="1"/>
  <c r="D719" i="1"/>
  <c r="D796" i="1"/>
  <c r="D253" i="1"/>
  <c r="D600" i="1"/>
  <c r="D469" i="1"/>
  <c r="D468" i="1"/>
  <c r="D696" i="1"/>
  <c r="D812" i="1"/>
  <c r="D581" i="1"/>
  <c r="D860" i="1"/>
  <c r="D890" i="1"/>
  <c r="D599" i="1"/>
  <c r="D889" i="1"/>
  <c r="D718" i="1"/>
  <c r="D619" i="1"/>
  <c r="D467" i="1"/>
  <c r="D514" i="1"/>
  <c r="D207" i="1"/>
  <c r="D673" i="1"/>
  <c r="D672" i="1"/>
  <c r="D265" i="1"/>
  <c r="D598" i="1"/>
  <c r="D850" i="1"/>
  <c r="D559" i="1"/>
  <c r="D757" i="1"/>
  <c r="D488" i="1"/>
  <c r="D425" i="1"/>
  <c r="D695" i="1"/>
  <c r="D618" i="1"/>
  <c r="D717" i="1"/>
  <c r="D541" i="1"/>
  <c r="D779" i="1"/>
  <c r="D903" i="1"/>
  <c r="D142" i="1"/>
  <c r="D778" i="1"/>
  <c r="D264" i="1"/>
  <c r="D169" i="1"/>
  <c r="D312" i="1"/>
  <c r="D513" i="1"/>
  <c r="D888" i="1"/>
  <c r="D849" i="1"/>
  <c r="D466" i="1"/>
  <c r="D558" i="1"/>
  <c r="D756" i="1"/>
  <c r="D405" i="1"/>
  <c r="D557" i="1"/>
  <c r="D556" i="1"/>
  <c r="D512" i="1"/>
  <c r="D465" i="1"/>
  <c r="D641" i="1"/>
  <c r="D464" i="1"/>
  <c r="D640" i="1"/>
  <c r="D404" i="1"/>
  <c r="D424" i="1"/>
  <c r="D97" i="1"/>
  <c r="D540" i="1"/>
  <c r="D200" i="1"/>
  <c r="D364" i="1"/>
  <c r="D877" i="1"/>
  <c r="D734" i="1"/>
  <c r="D539" i="1"/>
  <c r="D463" i="1"/>
  <c r="D876" i="1"/>
  <c r="D875" i="1"/>
  <c r="D755" i="1"/>
  <c r="D311" i="1"/>
  <c r="D859" i="1"/>
  <c r="D462" i="1"/>
  <c r="D328" i="1"/>
  <c r="D597" i="1"/>
  <c r="D85" i="1"/>
  <c r="D349" i="1"/>
  <c r="D442" i="1"/>
  <c r="D423" i="1"/>
  <c r="D895" i="1"/>
  <c r="D285" i="1"/>
  <c r="D830" i="1"/>
  <c r="D754" i="1"/>
  <c r="D218" i="1"/>
  <c r="D441" i="1"/>
  <c r="D753" i="1"/>
  <c r="D149" i="1"/>
  <c r="D580" i="1"/>
  <c r="D487" i="1"/>
  <c r="D811" i="1"/>
  <c r="D422" i="1"/>
  <c r="D596" i="1"/>
  <c r="D716" i="1"/>
  <c r="D60" i="1"/>
  <c r="D752" i="1"/>
  <c r="D284" i="1"/>
  <c r="D486" i="1"/>
  <c r="D848" i="1"/>
  <c r="D172" i="1"/>
  <c r="D348" i="1"/>
  <c r="D363" i="1"/>
  <c r="D485" i="1"/>
  <c r="D511" i="1"/>
  <c r="D777" i="1"/>
  <c r="D538" i="1"/>
  <c r="D671" i="1"/>
  <c r="D403" i="1"/>
  <c r="D617" i="1"/>
  <c r="D338" i="1"/>
  <c r="D77" i="1"/>
  <c r="D694" i="1"/>
  <c r="D887" i="1"/>
  <c r="D188" i="1"/>
  <c r="D639" i="1"/>
  <c r="D337" i="1"/>
  <c r="D579" i="1"/>
  <c r="D263" i="1"/>
  <c r="D421" i="1"/>
  <c r="D5" i="1"/>
  <c r="D3" i="1"/>
  <c r="D902" i="1"/>
  <c r="D510" i="1"/>
  <c r="D537" i="1"/>
  <c r="D80" i="1"/>
  <c r="D484" i="1"/>
  <c r="D135" i="1"/>
  <c r="D733" i="1"/>
  <c r="D886" i="1"/>
  <c r="D148" i="1"/>
  <c r="D638" i="1"/>
  <c r="D420" i="1"/>
  <c r="D858" i="1"/>
  <c r="D440" i="1"/>
  <c r="D751" i="1"/>
  <c r="D693" i="1"/>
  <c r="D750" i="1"/>
  <c r="D578" i="1"/>
  <c r="D795" i="1"/>
  <c r="D283" i="1"/>
  <c r="D187" i="1"/>
  <c r="D419" i="1"/>
  <c r="D418" i="1"/>
  <c r="D776" i="1"/>
  <c r="D461" i="1"/>
  <c r="D857" i="1"/>
  <c r="D385" i="1"/>
  <c r="D732" i="1"/>
  <c r="D417" i="1"/>
  <c r="D186" i="1"/>
  <c r="D217" i="1"/>
  <c r="D616" i="1"/>
  <c r="D555" i="1"/>
  <c r="D670" i="1"/>
  <c r="D416" i="1"/>
  <c r="D901" i="1"/>
  <c r="D439" i="1"/>
  <c r="D282" i="1"/>
  <c r="D73" i="1"/>
  <c r="D178" i="1"/>
  <c r="D775" i="1"/>
  <c r="D615" i="1"/>
  <c r="D692" i="1"/>
  <c r="D76" i="1"/>
  <c r="D12" i="1"/>
  <c r="D231" i="1"/>
  <c r="D577" i="1"/>
  <c r="D310" i="1"/>
  <c r="D438" i="1"/>
  <c r="D774" i="1"/>
  <c r="D336" i="1"/>
  <c r="D9" i="1"/>
  <c r="D829" i="1"/>
  <c r="D773" i="1"/>
  <c r="D749" i="1"/>
  <c r="D536" i="1"/>
  <c r="D415" i="1"/>
  <c r="D731" i="1"/>
  <c r="D669" i="1"/>
  <c r="D828" i="1"/>
  <c r="D772" i="1"/>
  <c r="D637" i="1"/>
  <c r="D437" i="1"/>
  <c r="D576" i="1"/>
  <c r="D636" i="1"/>
  <c r="D483" i="1"/>
  <c r="D575" i="1"/>
  <c r="D771" i="1"/>
  <c r="D614" i="1"/>
  <c r="D668" i="1"/>
  <c r="D574" i="1"/>
  <c r="D613" i="1"/>
  <c r="D612" i="1"/>
  <c r="D554" i="1"/>
  <c r="D691" i="1"/>
  <c r="D185" i="1"/>
  <c r="D63" i="1"/>
  <c r="D45" i="1"/>
  <c r="D847" i="1"/>
  <c r="D112" i="1"/>
  <c r="D6" i="1"/>
  <c r="D414" i="1"/>
  <c r="D111" i="1"/>
  <c r="D32" i="1"/>
  <c r="D794" i="1"/>
  <c r="D168" i="1"/>
  <c r="D35" i="1"/>
  <c r="D509" i="1"/>
  <c r="D573" i="1"/>
  <c r="D402" i="1"/>
  <c r="D715" i="1"/>
  <c r="D810" i="1"/>
  <c r="D748" i="1"/>
  <c r="D770" i="1"/>
  <c r="D611" i="1"/>
  <c r="D281" i="1"/>
  <c r="D70" i="1"/>
  <c r="D13" i="1"/>
  <c r="D56" i="1"/>
  <c r="D362" i="1"/>
  <c r="D714" i="1"/>
  <c r="D690" i="1"/>
  <c r="D874" i="1"/>
  <c r="D846" i="1"/>
  <c r="D305" i="1"/>
  <c r="D413" i="1"/>
  <c r="D242" i="1"/>
  <c r="D40" i="1"/>
  <c r="D667" i="1"/>
  <c r="D133" i="1"/>
  <c r="D595" i="1"/>
  <c r="D873" i="1"/>
  <c r="D769" i="1"/>
  <c r="D216" i="1"/>
  <c r="D7" i="1"/>
  <c r="D713" i="1"/>
  <c r="D904" i="1"/>
  <c r="D215" i="1"/>
  <c r="D553" i="1"/>
  <c r="D666" i="1"/>
  <c r="D535" i="1"/>
  <c r="D534" i="1"/>
  <c r="D827" i="1"/>
  <c r="D508" i="1"/>
  <c r="D230" i="1"/>
  <c r="D327" i="1"/>
  <c r="D326" i="1"/>
  <c r="D75" i="1"/>
  <c r="D273" i="1"/>
  <c r="D110" i="1"/>
  <c r="D572" i="1"/>
  <c r="D872" i="1"/>
  <c r="D309" i="1"/>
  <c r="D900" i="1"/>
  <c r="D214" i="1"/>
  <c r="D252" i="1"/>
  <c r="D635" i="1"/>
  <c r="D280" i="1"/>
  <c r="D361" i="1"/>
  <c r="D160" i="1"/>
  <c r="D482" i="1"/>
  <c r="D533" i="1"/>
  <c r="D768" i="1"/>
  <c r="D115" i="1"/>
  <c r="D139" i="1"/>
  <c r="D304" i="1"/>
  <c r="D262" i="1"/>
  <c r="D665" i="1"/>
  <c r="D664" i="1"/>
  <c r="D31" i="1"/>
  <c r="D159" i="1"/>
  <c r="D72" i="1"/>
  <c r="D191" i="1"/>
  <c r="D436" i="1"/>
  <c r="D571" i="1"/>
  <c r="D24" i="1"/>
  <c r="D885" i="1"/>
  <c r="D809" i="1"/>
  <c r="D167" i="1"/>
  <c r="D634" i="1"/>
  <c r="D199" i="1"/>
  <c r="D871" i="1"/>
  <c r="D120" i="1"/>
  <c r="D793" i="1"/>
  <c r="D633" i="1"/>
  <c r="D594" i="1"/>
  <c r="D730" i="1"/>
  <c r="D808" i="1"/>
  <c r="D610" i="1"/>
  <c r="D767" i="1"/>
  <c r="D632" i="1"/>
  <c r="D166" i="1"/>
  <c r="D663" i="1"/>
  <c r="D104" i="1"/>
  <c r="D62" i="1"/>
  <c r="D38" i="1"/>
  <c r="D631" i="1"/>
  <c r="D347" i="1"/>
  <c r="D401" i="1"/>
  <c r="D130" i="1"/>
  <c r="D360" i="1"/>
  <c r="D552" i="1"/>
  <c r="D101" i="1"/>
  <c r="D766" i="1"/>
  <c r="D119" i="1"/>
  <c r="D308" i="1"/>
  <c r="D37" i="1"/>
  <c r="D69" i="1"/>
  <c r="D279" i="1"/>
  <c r="D435" i="1"/>
  <c r="D132" i="1"/>
  <c r="D662" i="1"/>
  <c r="D261" i="1"/>
</calcChain>
</file>

<file path=xl/sharedStrings.xml><?xml version="1.0" encoding="utf-8"?>
<sst xmlns="http://schemas.openxmlformats.org/spreadsheetml/2006/main" count="5522" uniqueCount="2870">
  <si>
    <t>JIF Rank</t>
  </si>
  <si>
    <t>立即指数</t>
  </si>
  <si>
    <t>ISSN</t>
  </si>
  <si>
    <t>eISSN</t>
  </si>
  <si>
    <t>出版来源国家/地区</t>
  </si>
  <si>
    <t>出版商（全部）</t>
  </si>
  <si>
    <t>ZAMM-ZEITSCHRIFT FUR ANGEWANDTE MATHEMATIK UND MECHANIK</t>
  </si>
  <si>
    <t>Q1</t>
  </si>
  <si>
    <t>0044-2267</t>
  </si>
  <si>
    <t>1521-4001</t>
  </si>
  <si>
    <t>GERMANY (FED REP GER)</t>
  </si>
  <si>
    <t>WILEY-V C H VERLAG GMBH</t>
  </si>
  <si>
    <t>WIND ENERGY</t>
  </si>
  <si>
    <t>1095-4244</t>
  </si>
  <si>
    <t>1099-1824</t>
  </si>
  <si>
    <t>ENGLAND</t>
  </si>
  <si>
    <t>WILEY</t>
  </si>
  <si>
    <t>WIND AND STRUCTURES</t>
  </si>
  <si>
    <t>Q3</t>
  </si>
  <si>
    <t>1226-6116</t>
  </si>
  <si>
    <t>1598-6225</t>
  </si>
  <si>
    <t>SOUTH KOREA</t>
  </si>
  <si>
    <t>TECHNO-PRESS</t>
  </si>
  <si>
    <t>WILEY INTERDISCIPLINARY REVIEWS-ENERGY AND ENVIRONMENT</t>
  </si>
  <si>
    <t>Q2</t>
  </si>
  <si>
    <t>2041-8396</t>
  </si>
  <si>
    <t>2041-840X</t>
  </si>
  <si>
    <t>USA</t>
  </si>
  <si>
    <t>WILEY PERIODICALS, INC</t>
  </si>
  <si>
    <t>WATER INTERNATIONAL</t>
  </si>
  <si>
    <t>0250-8060</t>
  </si>
  <si>
    <t>1941-1707</t>
  </si>
  <si>
    <t>ROUTLEDGE JOURNALS, TAYLOR &amp; FRANCIS LTD</t>
  </si>
  <si>
    <t>WASTE MANAGEMENT &amp; RESEARCH</t>
  </si>
  <si>
    <t>0734-242X</t>
  </si>
  <si>
    <t>1096-3669</t>
  </si>
  <si>
    <t>SAGE PUBLICATIONS LTD</t>
  </si>
  <si>
    <t>WASTE MANAGEMENT</t>
  </si>
  <si>
    <t>0956-053X</t>
  </si>
  <si>
    <t>1879-2456</t>
  </si>
  <si>
    <t>PERGAMON-ELSEVIER SCIENCE LTD</t>
  </si>
  <si>
    <t>VIRTUAL AND PHYSICAL PROTOTYPING</t>
  </si>
  <si>
    <t>1745-2759</t>
  </si>
  <si>
    <t>1745-2767</t>
  </si>
  <si>
    <t>TAYLOR &amp; FRANCIS LTD</t>
  </si>
  <si>
    <t>VEHICLE SYSTEM DYNAMICS</t>
  </si>
  <si>
    <t>0042-3114</t>
  </si>
  <si>
    <t>1744-5159</t>
  </si>
  <si>
    <t>UNDERGROUND SPACE</t>
  </si>
  <si>
    <t>2096-2754</t>
  </si>
  <si>
    <t>2467-9674</t>
  </si>
  <si>
    <t>CHINA MAINLAND</t>
  </si>
  <si>
    <t>KEAI PUBLISHING LTD</t>
  </si>
  <si>
    <t>TURKISH JOURNAL OF ELECTRICAL ENGINEERING AND COMPUTER SCIENCES</t>
  </si>
  <si>
    <t>Q4</t>
  </si>
  <si>
    <t>1300-0632</t>
  </si>
  <si>
    <t>1303-6203</t>
  </si>
  <si>
    <t>TURKIYE</t>
  </si>
  <si>
    <t>Tubitak Scientific &amp; Technological Research Council Turkey</t>
  </si>
  <si>
    <t>TURKISH JOURNAL OF CIVIL ENGINEERING</t>
  </si>
  <si>
    <t>n/a</t>
  </si>
  <si>
    <t>2822-6836</t>
  </si>
  <si>
    <t>TURKISH CHAMBER CIVIL ENGINEERS</t>
  </si>
  <si>
    <t>TUNNELLING AND UNDERGROUND SPACE TECHNOLOGY</t>
  </si>
  <si>
    <t>0886-7798</t>
  </si>
  <si>
    <t>1878-4364</t>
  </si>
  <si>
    <t>TRIBOLOGY TRANSACTIONS</t>
  </si>
  <si>
    <t>1040-2004</t>
  </si>
  <si>
    <t>1547-397X</t>
  </si>
  <si>
    <t>TAYLOR &amp; FRANCIS INC</t>
  </si>
  <si>
    <t>TRIBOLOGY LETTERS</t>
  </si>
  <si>
    <t>1023-8883</t>
  </si>
  <si>
    <t>1573-2711</t>
  </si>
  <si>
    <t>SPRINGER/PLENUM PUBLISHERS</t>
  </si>
  <si>
    <t>TRIBOLOGY INTERNATIONAL</t>
  </si>
  <si>
    <t>0301-679X</t>
  </si>
  <si>
    <t>1879-2464</t>
  </si>
  <si>
    <t>ELSEVIER SCI LTD</t>
  </si>
  <si>
    <t>TRANSPORTMETRICA B-TRANSPORT DYNAMICS</t>
  </si>
  <si>
    <t>2168-0566</t>
  </si>
  <si>
    <t>2168-0582</t>
  </si>
  <si>
    <t>TRANSPORTMETRICA A-TRANSPORT SCIENCE</t>
  </si>
  <si>
    <t>2324-9935</t>
  </si>
  <si>
    <t>2324-9943</t>
  </si>
  <si>
    <t>TRANSPORTATION RESEARCH RECORD</t>
  </si>
  <si>
    <t>0361-1981</t>
  </si>
  <si>
    <t>2169-4052</t>
  </si>
  <si>
    <t>SAGE PUBLICATIONS INC</t>
  </si>
  <si>
    <t>TRANSPORTATION RESEARCH PART E-LOGISTICS AND TRANSPORTATION REVIEW</t>
  </si>
  <si>
    <t>1366-5545</t>
  </si>
  <si>
    <t>1878-5794</t>
  </si>
  <si>
    <t>TRANSPORTATION RESEARCH PART C-EMERGING TECHNOLOGIES</t>
  </si>
  <si>
    <t>0968-090X</t>
  </si>
  <si>
    <t>1879-2359</t>
  </si>
  <si>
    <t>TRANSPORTATION RESEARCH PART B-METHODOLOGICAL</t>
  </si>
  <si>
    <t>0191-2615</t>
  </si>
  <si>
    <t>1879-2367</t>
  </si>
  <si>
    <t>TRANSPORTATION PLANNING AND TECHNOLOGY</t>
  </si>
  <si>
    <t>0308-1060</t>
  </si>
  <si>
    <t>1029-0354</t>
  </si>
  <si>
    <t>TRANSPORTATION GEOTECHNICS</t>
  </si>
  <si>
    <t>2214-3912</t>
  </si>
  <si>
    <t>NETHERLANDS</t>
  </si>
  <si>
    <t>ELSEVIER</t>
  </si>
  <si>
    <t>TRANSPORT</t>
  </si>
  <si>
    <t>1648-4142</t>
  </si>
  <si>
    <t>1648-3480</t>
  </si>
  <si>
    <t>LITHUANIA</t>
  </si>
  <si>
    <t>VILNIUS GEDIMINAS TECH UNIV</t>
  </si>
  <si>
    <t>TRANSACTIONS OF THE JAPAN SOCIETY FOR AERONAUTICAL AND SPACE SCIENCES</t>
  </si>
  <si>
    <t>0549-3811</t>
  </si>
  <si>
    <t>JAPAN</t>
  </si>
  <si>
    <t>JAPAN SOC AERONAUT SPACE SCI</t>
  </si>
  <si>
    <t>TRANSACTIONS OF THE INSTITUTE OF MEASUREMENT AND CONTROL</t>
  </si>
  <si>
    <t>0142-3312</t>
  </si>
  <si>
    <t>1477-0369</t>
  </si>
  <si>
    <t>TRANSACTIONS OF THE CANADIAN SOCIETY FOR MECHANICAL ENGINEERING</t>
  </si>
  <si>
    <t>0315-8977</t>
  </si>
  <si>
    <t>2816-5691</t>
  </si>
  <si>
    <t>CANADA</t>
  </si>
  <si>
    <t>CANADIAN SCIENCE PUBLISHING</t>
  </si>
  <si>
    <t>TRANSACTIONS OF FAMENA</t>
  </si>
  <si>
    <t>1333-1124</t>
  </si>
  <si>
    <t>CROATIA</t>
  </si>
  <si>
    <t>UNIV ZAGREB FAC MECHANICAL ENGINEERING &amp; NAVAL ARCHITECTURE</t>
  </si>
  <si>
    <t>TRAITEMENT DU SIGNAL</t>
  </si>
  <si>
    <t>0765-0019</t>
  </si>
  <si>
    <t>1958-5608</t>
  </si>
  <si>
    <t>INT INFORMATION &amp; ENGINEERING TECHNOLOGY ASSOC</t>
  </si>
  <si>
    <t>TOP</t>
  </si>
  <si>
    <t>1134-5764</t>
  </si>
  <si>
    <t>1863-8279</t>
  </si>
  <si>
    <t>SPAIN</t>
  </si>
  <si>
    <t>SPRINGER</t>
  </si>
  <si>
    <t>TM-TECHNISCHES MESSEN</t>
  </si>
  <si>
    <t>0171-8096</t>
  </si>
  <si>
    <t>2196-7113</t>
  </si>
  <si>
    <t>WALTER DE GRUYTER GMBH</t>
  </si>
  <si>
    <t>THIN-WALLED STRUCTURES</t>
  </si>
  <si>
    <t>0263-8231</t>
  </si>
  <si>
    <t>1879-3223</t>
  </si>
  <si>
    <t>THERMOPHYSICS AND AEROMECHANICS</t>
  </si>
  <si>
    <t>0869-8643</t>
  </si>
  <si>
    <t>1531-8699</t>
  </si>
  <si>
    <t>RUSSIA</t>
  </si>
  <si>
    <t>PLEIADES PUBLISHING INC</t>
  </si>
  <si>
    <t>THERMAL SCIENCE AND ENGINEERING PROGRESS</t>
  </si>
  <si>
    <t>2451-9049</t>
  </si>
  <si>
    <t>THERMAL SCIENCE</t>
  </si>
  <si>
    <t>0354-9836</t>
  </si>
  <si>
    <t>2334-7163</t>
  </si>
  <si>
    <t>SERBIA</t>
  </si>
  <si>
    <t>VINCA INST NUCLEAR SCI</t>
  </si>
  <si>
    <t>THEORETICAL AND APPLIED FRACTURE MECHANICS</t>
  </si>
  <si>
    <t>0167-8442</t>
  </si>
  <si>
    <t>1872-7638</t>
  </si>
  <si>
    <t>TEHNICKI VJESNIK-TECHNICAL GAZETTE</t>
  </si>
  <si>
    <t>1330-3651</t>
  </si>
  <si>
    <t>1848-6339</t>
  </si>
  <si>
    <t>UNIV OSIJEK, TECH FAC</t>
  </si>
  <si>
    <t>TECNOLOGIA Y CIENCIAS DEL AGUA</t>
  </si>
  <si>
    <t>0187-8336</t>
  </si>
  <si>
    <t>2007-2422</t>
  </si>
  <si>
    <t>MEXICO</t>
  </si>
  <si>
    <t>INST MEXICANO TECHNOLOGIAAGUA</t>
  </si>
  <si>
    <t>TECHNOVATION</t>
  </si>
  <si>
    <t>0166-4972</t>
  </si>
  <si>
    <t>1879-2383</t>
  </si>
  <si>
    <t>SYSTEMS ENGINEERING</t>
  </si>
  <si>
    <t>1098-1241</t>
  </si>
  <si>
    <t>1520-6858</t>
  </si>
  <si>
    <t>SYSTEMS &amp; CONTROL LETTERS</t>
  </si>
  <si>
    <t>0167-6911</t>
  </si>
  <si>
    <t>1872-7956</t>
  </si>
  <si>
    <t>SUSTAINABLE ENVIRONMENT RESEARCH</t>
  </si>
  <si>
    <t>2468-2039</t>
  </si>
  <si>
    <t>BMC</t>
  </si>
  <si>
    <t>SUSTAINABLE ENERGY TECHNOLOGIES AND ASSESSMENTS</t>
  </si>
  <si>
    <t>2213-1388</t>
  </si>
  <si>
    <t>2213-1396</t>
  </si>
  <si>
    <t>SUSTAINABLE ENERGY GRIDS &amp; NETWORKS</t>
  </si>
  <si>
    <t>2352-4677</t>
  </si>
  <si>
    <t>SUSTAINABLE CITIES AND SOCIETY</t>
  </si>
  <si>
    <t>2210-6707</t>
  </si>
  <si>
    <t>2210-6715</t>
  </si>
  <si>
    <t>SURVEY REVIEW</t>
  </si>
  <si>
    <t>0039-6265</t>
  </si>
  <si>
    <t>1752-2706</t>
  </si>
  <si>
    <t>STUDIES IN INFORMATICS AND CONTROL</t>
  </si>
  <si>
    <t>1220-1766</t>
  </si>
  <si>
    <t>ROMANIA</t>
  </si>
  <si>
    <t>NATL INST R&amp;D INFORMATICS-ICI</t>
  </si>
  <si>
    <t>STRUCTURES</t>
  </si>
  <si>
    <t>2352-0124</t>
  </si>
  <si>
    <t>ELSEVIER SCIENCE INC</t>
  </si>
  <si>
    <t>STRUCTURE AND INFRASTRUCTURE ENGINEERING</t>
  </si>
  <si>
    <t>1573-2479</t>
  </si>
  <si>
    <t>1744-8980</t>
  </si>
  <si>
    <t>STRUCTURAL SAFETY</t>
  </si>
  <si>
    <t>0167-4730</t>
  </si>
  <si>
    <t>1879-3355</t>
  </si>
  <si>
    <t>STRUCTURAL HEALTH MONITORING-AN INTERNATIONAL JOURNAL</t>
  </si>
  <si>
    <t>1475-9217</t>
  </si>
  <si>
    <t>1741-3168</t>
  </si>
  <si>
    <t>STRUCTURAL ENGINEERING INTERNATIONAL</t>
  </si>
  <si>
    <t>1016-8664</t>
  </si>
  <si>
    <t>1683-0350</t>
  </si>
  <si>
    <t>STRUCTURAL ENGINEERING AND MECHANICS</t>
  </si>
  <si>
    <t>1225-4568</t>
  </si>
  <si>
    <t>1598-6217</t>
  </si>
  <si>
    <t>STRUCTURAL DESIGN OF TALL AND SPECIAL BUILDINGS</t>
  </si>
  <si>
    <t>1541-7794</t>
  </si>
  <si>
    <t>1541-7808</t>
  </si>
  <si>
    <t>STRUCTURAL CONTROL &amp; HEALTH MONITORING</t>
  </si>
  <si>
    <t>1545-2255</t>
  </si>
  <si>
    <t>1545-2263</t>
  </si>
  <si>
    <t>JOHN WILEY &amp; SONS LTD</t>
  </si>
  <si>
    <t>STRUCTURAL CONCRETE</t>
  </si>
  <si>
    <t>1464-4177</t>
  </si>
  <si>
    <t>1751-7648</t>
  </si>
  <si>
    <t>ERNST &amp; SOHN</t>
  </si>
  <si>
    <t>STRUCTURAL AND MULTIDISCIPLINARY OPTIMIZATION</t>
  </si>
  <si>
    <t>1615-147X</t>
  </si>
  <si>
    <t>1615-1488</t>
  </si>
  <si>
    <t>STROJNISKI VESTNIK-JOURNAL OF MECHANICAL ENGINEERING</t>
  </si>
  <si>
    <t>0039-2480</t>
  </si>
  <si>
    <t>SLOVENIA</t>
  </si>
  <si>
    <t>ASSOC MECHANICAL ENGINEERS TECHNICIANS SLOVENIA</t>
  </si>
  <si>
    <t>STOCHASTIC ENVIRONMENTAL RESEARCH AND RISK ASSESSMENT</t>
  </si>
  <si>
    <t>1436-3240</t>
  </si>
  <si>
    <t>1436-3259</t>
  </si>
  <si>
    <t>STEEL AND COMPOSITE STRUCTURES</t>
  </si>
  <si>
    <t>1229-9367</t>
  </si>
  <si>
    <t>1598-6233</t>
  </si>
  <si>
    <t>STAHLBAU</t>
  </si>
  <si>
    <t>0038-9145</t>
  </si>
  <si>
    <t>1437-1049</t>
  </si>
  <si>
    <t>SPE JOURNAL</t>
  </si>
  <si>
    <t>1086-055X</t>
  </si>
  <si>
    <t>1930-0220</t>
  </si>
  <si>
    <t>SOC PETROLEUM ENG</t>
  </si>
  <si>
    <t>SOUTH AFRICAN JOURNAL OF INDUSTRIAL ENGINEERING</t>
  </si>
  <si>
    <t>2224-7890</t>
  </si>
  <si>
    <t>SOUTH AFRICA</t>
  </si>
  <si>
    <t>SOUTHERN AFRICAN INST INDUSTRIAL ENGINEERING</t>
  </si>
  <si>
    <t>SOLDERING &amp; SURFACE MOUNT TECHNOLOGY</t>
  </si>
  <si>
    <t>0954-0911</t>
  </si>
  <si>
    <t>1758-6836</t>
  </si>
  <si>
    <t>EMERALD GROUP PUBLISHING LTD</t>
  </si>
  <si>
    <t>SOLAR ENERGY</t>
  </si>
  <si>
    <t>0038-092X</t>
  </si>
  <si>
    <t>1471-1257</t>
  </si>
  <si>
    <t>SOIL DYNAMICS AND EARTHQUAKE ENGINEERING</t>
  </si>
  <si>
    <t>0267-7261</t>
  </si>
  <si>
    <t>1879-341X</t>
  </si>
  <si>
    <t>SOFT ROBOTICS</t>
  </si>
  <si>
    <t>2169-5172</t>
  </si>
  <si>
    <t>2169-5180</t>
  </si>
  <si>
    <t>MARY ANN LIEBERT, INC</t>
  </si>
  <si>
    <t>SMART STRUCTURES AND SYSTEMS</t>
  </si>
  <si>
    <t>1738-1584</t>
  </si>
  <si>
    <t>1738-1991</t>
  </si>
  <si>
    <t>SIGNAL PROCESSING-IMAGE COMMUNICATION</t>
  </si>
  <si>
    <t>0923-5965</t>
  </si>
  <si>
    <t>1879-2677</t>
  </si>
  <si>
    <t>SIGNAL PROCESSING</t>
  </si>
  <si>
    <t>0165-1684</t>
  </si>
  <si>
    <t>1872-7557</t>
  </si>
  <si>
    <t>SIGNAL IMAGE AND VIDEO PROCESSING</t>
  </si>
  <si>
    <t>1863-1703</t>
  </si>
  <si>
    <t>1863-1711</t>
  </si>
  <si>
    <t>SPRINGER LONDON LTD</t>
  </si>
  <si>
    <t>SIAM JOURNAL ON DISCRETE MATHEMATICS</t>
  </si>
  <si>
    <t>0895-4801</t>
  </si>
  <si>
    <t>1095-7146</t>
  </si>
  <si>
    <t>SIAM PUBLICATIONS</t>
  </si>
  <si>
    <t>SIAM JOURNAL ON CONTROL AND OPTIMIZATION</t>
  </si>
  <si>
    <t>0363-0129</t>
  </si>
  <si>
    <t>1095-7138</t>
  </si>
  <si>
    <t>SHOCK WAVES</t>
  </si>
  <si>
    <t>0938-1287</t>
  </si>
  <si>
    <t>1432-2153</t>
  </si>
  <si>
    <t>SHOCK AND VIBRATION</t>
  </si>
  <si>
    <t>1070-9622</t>
  </si>
  <si>
    <t>1875-9203</t>
  </si>
  <si>
    <t>HINDAWI LTD</t>
  </si>
  <si>
    <t>SHIPS AND OFFSHORE STRUCTURES</t>
  </si>
  <si>
    <t>1744-5302</t>
  </si>
  <si>
    <t>1754-212X</t>
  </si>
  <si>
    <t>SENSORS AND ACTUATORS A-PHYSICAL</t>
  </si>
  <si>
    <t>0924-4247</t>
  </si>
  <si>
    <t>1873-3069</t>
  </si>
  <si>
    <t>SWITZERLAND</t>
  </si>
  <si>
    <t>ELSEVIER SCIENCE SA</t>
  </si>
  <si>
    <t>SEA TECHNOLOGY</t>
  </si>
  <si>
    <t>0093-3651</t>
  </si>
  <si>
    <t>COMPASS PUBLICATIONS, INC</t>
  </si>
  <si>
    <t>SCIENTIA IRANICA</t>
  </si>
  <si>
    <t>1026-3098</t>
  </si>
  <si>
    <t>IRAN</t>
  </si>
  <si>
    <t>SHARIF UNIV TECHNOLOGY</t>
  </si>
  <si>
    <t>SCIENCE ROBOTICS</t>
  </si>
  <si>
    <t>2470-9476</t>
  </si>
  <si>
    <t>AMER ASSOC ADVANCEMENT SCIENCE</t>
  </si>
  <si>
    <t>SCIENCE CHINA-TECHNOLOGICAL SCIENCES</t>
  </si>
  <si>
    <t>1674-7321</t>
  </si>
  <si>
    <t>1869-1900</t>
  </si>
  <si>
    <t>SCIENCE PRESS</t>
  </si>
  <si>
    <t>SCIENCE AND TECHNOLOGY OF NUCLEAR INSTALLATIONS</t>
  </si>
  <si>
    <t>1687-6075</t>
  </si>
  <si>
    <t>1687-6083</t>
  </si>
  <si>
    <t>SCIENCE AND TECHNOLOGY OF ENERGETIC MATERIALS</t>
  </si>
  <si>
    <t>1347-9466</t>
  </si>
  <si>
    <t>JAPAN EXPLOSIVES SOC</t>
  </si>
  <si>
    <t>SCIENCE AND TECHNOLOGY FOR THE BUILT ENVIRONMENT</t>
  </si>
  <si>
    <t>2374-4731</t>
  </si>
  <si>
    <t>2374-474X</t>
  </si>
  <si>
    <t>SCIENCE AND TECHNOLOGY FOR ENERGY TRANSITION</t>
  </si>
  <si>
    <t>2804-7699</t>
  </si>
  <si>
    <t>FRANCE</t>
  </si>
  <si>
    <t>EDP SCIENCES S A</t>
  </si>
  <si>
    <t>SAFETY SCIENCE</t>
  </si>
  <si>
    <t>0925-7535</t>
  </si>
  <si>
    <t>1879-1042</t>
  </si>
  <si>
    <t>SADHANA-ACADEMY PROCEEDINGS IN ENGINEERING SCIENCES</t>
  </si>
  <si>
    <t>0256-2499</t>
  </si>
  <si>
    <t>0973-7677</t>
  </si>
  <si>
    <t>INDIA</t>
  </si>
  <si>
    <t>SPRINGER INDIA</t>
  </si>
  <si>
    <t>ROBOTICS AND COMPUTER-INTEGRATED MANUFACTURING</t>
  </si>
  <si>
    <t>0736-5845</t>
  </si>
  <si>
    <t>1879-2537</t>
  </si>
  <si>
    <t>ROBOTICS AND AUTONOMOUS SYSTEMS</t>
  </si>
  <si>
    <t>0921-8890</t>
  </si>
  <si>
    <t>1872-793X</t>
  </si>
  <si>
    <t>ROBOTICA</t>
  </si>
  <si>
    <t>0263-5747</t>
  </si>
  <si>
    <t>1469-8668</t>
  </si>
  <si>
    <t>CAMBRIDGE UNIV PRESS</t>
  </si>
  <si>
    <t>ROBOTIC INTELLIGENCE AND AUTOMATION</t>
  </si>
  <si>
    <t>2754-6969</t>
  </si>
  <si>
    <t>ROAD MATERIALS AND PAVEMENT DESIGN</t>
  </si>
  <si>
    <t>1468-0629</t>
  </si>
  <si>
    <t>2164-7402</t>
  </si>
  <si>
    <t>REVUE ROUMAINE DES SCIENCES TECHNIQUES-SERIE ELECTROTECHNIQUE ET ENERGETIQUE</t>
  </si>
  <si>
    <t>0035-4066</t>
  </si>
  <si>
    <t>EDITURA ACAD ROMANE</t>
  </si>
  <si>
    <t>REVISTA INTERNACIONAL DE METODOS NUMERICOS PARA CALCULO Y DISENO EN INGENIERIA</t>
  </si>
  <si>
    <t>0213-1315</t>
  </si>
  <si>
    <t>SCIPEDIA S L</t>
  </si>
  <si>
    <t>REVISTA IBEROAMERICANA DE AUTOMATICA E INFORMATICA INDUSTRIAL</t>
  </si>
  <si>
    <t>1697-7912</t>
  </si>
  <si>
    <t>1697-7920</t>
  </si>
  <si>
    <t>UNIV POLITECNICA VALENCIA, EDITORIAL UPV</t>
  </si>
  <si>
    <t>REVISTA DE LA CONSTRUCCION</t>
  </si>
  <si>
    <t>0718-915X</t>
  </si>
  <si>
    <t>CHILE</t>
  </si>
  <si>
    <t>PONTIFICIA UNIV CATOLICA CHILE, ESCUELA CONSTRUCCION CIVIL</t>
  </si>
  <si>
    <t>RESEARCH IN ENGINEERING DESIGN</t>
  </si>
  <si>
    <t>0934-9839</t>
  </si>
  <si>
    <t>1435-6066</t>
  </si>
  <si>
    <t>SPRINGER HEIDELBERG</t>
  </si>
  <si>
    <t>RENEWABLE ENERGY</t>
  </si>
  <si>
    <t>0960-1481</t>
  </si>
  <si>
    <t>1879-0682</t>
  </si>
  <si>
    <t>RENEWABLE &amp; SUSTAINABLE ENERGY REVIEWS</t>
  </si>
  <si>
    <t>1364-0321</t>
  </si>
  <si>
    <t>1879-0690</t>
  </si>
  <si>
    <t>RELIABILITY ENGINEERING &amp; SYSTEM SAFETY</t>
  </si>
  <si>
    <t>0951-8320</t>
  </si>
  <si>
    <t>1879-0836</t>
  </si>
  <si>
    <t>RAPID PROTOTYPING JOURNAL</t>
  </si>
  <si>
    <t>1355-2546</t>
  </si>
  <si>
    <t>1758-7670</t>
  </si>
  <si>
    <t>RAIRO-OPERATIONS RESEARCH</t>
  </si>
  <si>
    <t>0399-0559</t>
  </si>
  <si>
    <t>2804-7303</t>
  </si>
  <si>
    <t>RADIOENGINEERING</t>
  </si>
  <si>
    <t>1210-2512</t>
  </si>
  <si>
    <t>CZECH REPUBLIC</t>
  </si>
  <si>
    <t>SPOLECNOST PRO RADIOELEKTRONICKE INZENYRSTVI</t>
  </si>
  <si>
    <t>QUEUEING SYSTEMS</t>
  </si>
  <si>
    <t>0257-0130</t>
  </si>
  <si>
    <t>1572-9443</t>
  </si>
  <si>
    <t>QUARTERLY JOURNAL OF MECHANICS AND APPLIED MATHEMATICS</t>
  </si>
  <si>
    <t>0033-5614</t>
  </si>
  <si>
    <t>1464-3855</t>
  </si>
  <si>
    <t>OXFORD UNIV PRESS</t>
  </si>
  <si>
    <t>QUARTERLY JOURNAL OF ENGINEERING GEOLOGY AND HYDROGEOLOGY</t>
  </si>
  <si>
    <t>1470-9236</t>
  </si>
  <si>
    <t>2041-4803</t>
  </si>
  <si>
    <t>GEOLOGICAL SOC PUBL HOUSE</t>
  </si>
  <si>
    <t>QUALITY TECHNOLOGY AND QUANTITATIVE MANAGEMENT</t>
  </si>
  <si>
    <t>1684-3703</t>
  </si>
  <si>
    <t>1811-4857</t>
  </si>
  <si>
    <t>QUALITY ENGINEERING</t>
  </si>
  <si>
    <t>0898-2112</t>
  </si>
  <si>
    <t>1532-4222</t>
  </si>
  <si>
    <t>QUALITY AND RELIABILITY ENGINEERING INTERNATIONAL</t>
  </si>
  <si>
    <t>0748-8017</t>
  </si>
  <si>
    <t>1099-1638</t>
  </si>
  <si>
    <t>PROTECTION AND CONTROL OF MODERN POWER SYSTEMS</t>
  </si>
  <si>
    <t>2367-2617</t>
  </si>
  <si>
    <t>2367-0983</t>
  </si>
  <si>
    <t>SPRINGER SINGAPORE PTE LTD</t>
  </si>
  <si>
    <t>PROPULSION AND POWER RESEARCH</t>
  </si>
  <si>
    <t>2212-540X</t>
  </si>
  <si>
    <t>PROMET-TRAFFIC &amp; TRANSPORTATION</t>
  </si>
  <si>
    <t>0353-5320</t>
  </si>
  <si>
    <t>1848-4069</t>
  </si>
  <si>
    <t>SVEUCILISTE U ZAGREBU, FAKULTET PROMETNIH ZNANOSTI</t>
  </si>
  <si>
    <t>PROGRESS IN QUANTUM ELECTRONICS</t>
  </si>
  <si>
    <t>0079-6727</t>
  </si>
  <si>
    <t>1873-1627</t>
  </si>
  <si>
    <t>PROGRESS IN PHOTOVOLTAICS</t>
  </si>
  <si>
    <t>1062-7995</t>
  </si>
  <si>
    <t>1099-159X</t>
  </si>
  <si>
    <t>PROGRESS IN NUCLEAR ENERGY</t>
  </si>
  <si>
    <t>0149-1970</t>
  </si>
  <si>
    <t>1878-4224</t>
  </si>
  <si>
    <t>PROGRESS IN ENERGY AND COMBUSTION SCIENCE</t>
  </si>
  <si>
    <t>0360-1285</t>
  </si>
  <si>
    <t>1873-216X</t>
  </si>
  <si>
    <t>PROGRESS IN ELECTROMAGNETICS RESEARCH-PIER</t>
  </si>
  <si>
    <t>1070-4698</t>
  </si>
  <si>
    <t>1559-8985</t>
  </si>
  <si>
    <t>EMW PUBLISHING</t>
  </si>
  <si>
    <t>PROGRESS IN COMPUTATIONAL FLUID DYNAMICS</t>
  </si>
  <si>
    <t>1468-4349</t>
  </si>
  <si>
    <t>1741-5233</t>
  </si>
  <si>
    <t>INDERSCIENCE ENTERPRISES LTD</t>
  </si>
  <si>
    <t>PROGRESS IN AEROSPACE SCIENCES</t>
  </si>
  <si>
    <t>0376-0421</t>
  </si>
  <si>
    <t>1873-1724</t>
  </si>
  <si>
    <t>PRODUCTION PLANNING &amp; CONTROL</t>
  </si>
  <si>
    <t>0953-7287</t>
  </si>
  <si>
    <t>1366-5871</t>
  </si>
  <si>
    <t>PRODUCTION AND OPERATIONS MANAGEMENT</t>
  </si>
  <si>
    <t>1059-1478</t>
  </si>
  <si>
    <t>1937-5956</t>
  </si>
  <si>
    <t>PROCEEDINGS OF THE INSTITUTION OF MECHANICAL ENGINEERS PART P-JOURNAL OF SPORTS ENGINEERING AND TECHNOLOGY</t>
  </si>
  <si>
    <t>1754-3371</t>
  </si>
  <si>
    <t>1754-338X</t>
  </si>
  <si>
    <t>PROCEEDINGS OF THE INSTITUTION OF MECHANICAL ENGINEERS PART O-JOURNAL OF RISK AND RELIABILITY</t>
  </si>
  <si>
    <t>1748-006X</t>
  </si>
  <si>
    <t>1748-0078</t>
  </si>
  <si>
    <t>PROCEEDINGS OF THE INSTITUTION OF MECHANICAL ENGINEERS PART M-JOURNAL OF ENGINEERING FOR THE MARITIME ENVIRONMENT</t>
  </si>
  <si>
    <t>1475-0902</t>
  </si>
  <si>
    <t>2041-3084</t>
  </si>
  <si>
    <t>PROCEEDINGS OF THE INSTITUTION OF MECHANICAL ENGINEERS PART K-JOURNAL OF MULTI-BODY DYNAMICS</t>
  </si>
  <si>
    <t>1464-4193</t>
  </si>
  <si>
    <t>2041-3068</t>
  </si>
  <si>
    <t>PROCEEDINGS OF THE INSTITUTION OF MECHANICAL ENGINEERS PART J-JOURNAL OF ENGINEERING TRIBOLOGY</t>
  </si>
  <si>
    <t>1350-6501</t>
  </si>
  <si>
    <t>2041-305X</t>
  </si>
  <si>
    <t>PROCEEDINGS OF THE INSTITUTION OF MECHANICAL ENGINEERS PART I-JOURNAL OF SYSTEMS AND CONTROL ENGINEERING</t>
  </si>
  <si>
    <t>0959-6518</t>
  </si>
  <si>
    <t>2041-3041</t>
  </si>
  <si>
    <t>PROCEEDINGS OF THE INSTITUTION OF MECHANICAL ENGINEERS PART H-JOURNAL OF ENGINEERING IN MEDICINE</t>
  </si>
  <si>
    <t>0954-4119</t>
  </si>
  <si>
    <t>2041-3033</t>
  </si>
  <si>
    <t>PROCEEDINGS OF THE INSTITUTION OF MECHANICAL ENGINEERS PART G-JOURNAL OF AEROSPACE ENGINEERING</t>
  </si>
  <si>
    <t>0954-4100</t>
  </si>
  <si>
    <t>2041-3025</t>
  </si>
  <si>
    <t>PROCEEDINGS OF THE INSTITUTION OF MECHANICAL ENGINEERS PART F-JOURNAL OF RAIL AND RAPID TRANSIT</t>
  </si>
  <si>
    <t>0954-4097</t>
  </si>
  <si>
    <t>2041-3017</t>
  </si>
  <si>
    <t>PROCEEDINGS OF THE INSTITUTION OF MECHANICAL ENGINEERS PART E-JOURNAL OF PROCESS MECHANICAL ENGINEERING</t>
  </si>
  <si>
    <t>0954-4089</t>
  </si>
  <si>
    <t>2041-3009</t>
  </si>
  <si>
    <t>PROCEEDINGS OF THE INSTITUTION OF MECHANICAL ENGINEERS PART D-JOURNAL OF AUTOMOBILE ENGINEERING</t>
  </si>
  <si>
    <t>0954-4070</t>
  </si>
  <si>
    <t>2041-2991</t>
  </si>
  <si>
    <t>PROCEEDINGS OF THE INSTITUTION OF MECHANICAL ENGINEERS PART C-JOURNAL OF MECHANICAL ENGINEERING SCIENCE</t>
  </si>
  <si>
    <t>0954-4062</t>
  </si>
  <si>
    <t>2041-2983</t>
  </si>
  <si>
    <t>PROCEEDINGS OF THE INSTITUTION OF MECHANICAL ENGINEERS PART B-JOURNAL OF ENGINEERING MANUFACTURE</t>
  </si>
  <si>
    <t>0954-4054</t>
  </si>
  <si>
    <t>2041-2975</t>
  </si>
  <si>
    <t>PROCEEDINGS OF THE INSTITUTION OF MECHANICAL ENGINEERS PART A-JOURNAL OF POWER AND ENERGY</t>
  </si>
  <si>
    <t>0957-6509</t>
  </si>
  <si>
    <t>2041-2967</t>
  </si>
  <si>
    <t>PROCEEDINGS OF THE INSTITUTION OF CIVIL ENGINEERS-WATER MANAGEMENT</t>
  </si>
  <si>
    <t>1741-7589</t>
  </si>
  <si>
    <t>1751-7729</t>
  </si>
  <si>
    <t>PROCEEDINGS OF THE INSTITUTION OF CIVIL ENGINEERS-TRANSPORT</t>
  </si>
  <si>
    <t>0965-092X</t>
  </si>
  <si>
    <t>1751-7710</t>
  </si>
  <si>
    <t>PROCEEDINGS OF THE INSTITUTION OF CIVIL ENGINEERS-STRUCTURES AND BUILDINGS</t>
  </si>
  <si>
    <t>0965-0911</t>
  </si>
  <si>
    <t>1751-7702</t>
  </si>
  <si>
    <t>PROCEEDINGS OF THE INSTITUTION OF CIVIL ENGINEERS-MUNICIPAL ENGINEER</t>
  </si>
  <si>
    <t>0965-0903</t>
  </si>
  <si>
    <t>1751-7699</t>
  </si>
  <si>
    <t>PROCEEDINGS OF THE INSTITUTION OF CIVIL ENGINEERS-MARITIME ENGINEERING</t>
  </si>
  <si>
    <t>1741-7597</t>
  </si>
  <si>
    <t>1751-7737</t>
  </si>
  <si>
    <t>PROCEEDINGS OF THE INSTITUTION OF CIVIL ENGINEERS-GEOTECHNICAL ENGINEERING</t>
  </si>
  <si>
    <t>1353-2618</t>
  </si>
  <si>
    <t>1751-8563</t>
  </si>
  <si>
    <t>PROCEEDINGS OF THE INSTITUTION OF CIVIL ENGINEERS-ENGINEERING SUSTAINABILITY</t>
  </si>
  <si>
    <t>1478-4629</t>
  </si>
  <si>
    <t>1751-7680</t>
  </si>
  <si>
    <t>PROCEEDINGS OF THE INSTITUTION OF CIVIL ENGINEERS-ENERGY</t>
  </si>
  <si>
    <t>1751-4223</t>
  </si>
  <si>
    <t>1751-4231</t>
  </si>
  <si>
    <t>PROCEEDINGS OF THE INSTITUTION OF CIVIL ENGINEERS-CIVIL ENGINEERING</t>
  </si>
  <si>
    <t>0965-089X</t>
  </si>
  <si>
    <t>1751-7672</t>
  </si>
  <si>
    <t>PROCEEDINGS OF THE IEEE</t>
  </si>
  <si>
    <t>0018-9219</t>
  </si>
  <si>
    <t>1558-2256</t>
  </si>
  <si>
    <t>IEEE-INST ELECTRICAL ELECTRONICS ENGINEERS INC</t>
  </si>
  <si>
    <t>PROCEEDINGS OF THE COMBUSTION INSTITUTE</t>
  </si>
  <si>
    <t>1540-7489</t>
  </si>
  <si>
    <t>1873-2704</t>
  </si>
  <si>
    <t>PROBABILITY IN THE ENGINEERING AND INFORMATIONAL SCIENCES</t>
  </si>
  <si>
    <t>0269-9648</t>
  </si>
  <si>
    <t>1469-8951</t>
  </si>
  <si>
    <t>PROBABILISTIC ENGINEERING MECHANICS</t>
  </si>
  <si>
    <t>0266-8920</t>
  </si>
  <si>
    <t>1878-4275</t>
  </si>
  <si>
    <t>PRECISION ENGINEERING-JOURNAL OF THE INTERNATIONAL SOCIETIES FOR PRECISION ENGINEERING AND NANOTECHNOLOGY</t>
  </si>
  <si>
    <t>0141-6359</t>
  </si>
  <si>
    <t>1873-2372</t>
  </si>
  <si>
    <t>POLISH MARITIME RESEARCH</t>
  </si>
  <si>
    <t>1233-2585</t>
  </si>
  <si>
    <t>2083-7429</t>
  </si>
  <si>
    <t>POLAND</t>
  </si>
  <si>
    <t>SCIENDO</t>
  </si>
  <si>
    <t>PHYSICAL AND ENGINEERING SCIENCES IN MEDICINE</t>
  </si>
  <si>
    <t>2662-4729</t>
  </si>
  <si>
    <t>2662-4737</t>
  </si>
  <si>
    <t>PHOTONIX</t>
  </si>
  <si>
    <t>2662-1991</t>
  </si>
  <si>
    <t>SPRINGERNATURE</t>
  </si>
  <si>
    <t>PHOTOACOUSTICS</t>
  </si>
  <si>
    <t>2213-5979</t>
  </si>
  <si>
    <t>ELSEVIER GMBH</t>
  </si>
  <si>
    <t>PETROLEUM SCIENCE AND TECHNOLOGY</t>
  </si>
  <si>
    <t>1091-6466</t>
  </si>
  <si>
    <t>1532-2459</t>
  </si>
  <si>
    <t>PERIODICA POLYTECHNICA-CIVIL ENGINEERING</t>
  </si>
  <si>
    <t>0553-6626</t>
  </si>
  <si>
    <t>HUNGARY</t>
  </si>
  <si>
    <t>BUDAPEST UNIV TECHNOLOGY ECONOMICS</t>
  </si>
  <si>
    <t>PCI JOURNAL</t>
  </si>
  <si>
    <t>0887-9672</t>
  </si>
  <si>
    <t>PRECAST/PRESTRESSED CONCRETE INST</t>
  </si>
  <si>
    <t>PATTERN RECOGNITION LETTERS</t>
  </si>
  <si>
    <t>0167-8655</t>
  </si>
  <si>
    <t>1872-7344</t>
  </si>
  <si>
    <t>PATTERN RECOGNITION</t>
  </si>
  <si>
    <t>0031-3203</t>
  </si>
  <si>
    <t>1873-5142</t>
  </si>
  <si>
    <t>PATTERN ANALYSIS AND APPLICATIONS</t>
  </si>
  <si>
    <t>1433-7541</t>
  </si>
  <si>
    <t>1433-755X</t>
  </si>
  <si>
    <t>PACKAGING TECHNOLOGY AND SCIENCE</t>
  </si>
  <si>
    <t>0894-3214</t>
  </si>
  <si>
    <t>1099-1522</t>
  </si>
  <si>
    <t>PACIFIC JOURNAL OF OPTIMIZATION</t>
  </si>
  <si>
    <t>1348-9151</t>
  </si>
  <si>
    <t>YOKOHAMA PUBL</t>
  </si>
  <si>
    <t>OR SPECTRUM</t>
  </si>
  <si>
    <t>0171-6468</t>
  </si>
  <si>
    <t>1436-6304</t>
  </si>
  <si>
    <t>OPTO-ELECTRONICS REVIEW</t>
  </si>
  <si>
    <t>1230-3402</t>
  </si>
  <si>
    <t>1896-3757</t>
  </si>
  <si>
    <t>POLISH ACAD SCIENCES</t>
  </si>
  <si>
    <t>OPTIMIZATION AND ENGINEERING</t>
  </si>
  <si>
    <t>1389-4420</t>
  </si>
  <si>
    <t>1573-2924</t>
  </si>
  <si>
    <t>OPTIMAL CONTROL APPLICATIONS &amp; METHODS</t>
  </si>
  <si>
    <t>0143-2087</t>
  </si>
  <si>
    <t>1099-1514</t>
  </si>
  <si>
    <t>OPTICS AND LASERS IN ENGINEERING</t>
  </si>
  <si>
    <t>0143-8166</t>
  </si>
  <si>
    <t>1873-0302</t>
  </si>
  <si>
    <t>OPTICS AND LASER TECHNOLOGY</t>
  </si>
  <si>
    <t>0030-3992</t>
  </si>
  <si>
    <t>1879-2545</t>
  </si>
  <si>
    <t>OPTICAL FIBER TECHNOLOGY</t>
  </si>
  <si>
    <t>1068-5200</t>
  </si>
  <si>
    <t>1095-9912</t>
  </si>
  <si>
    <t>OPTICAL ENGINEERING</t>
  </si>
  <si>
    <t>0091-3286</t>
  </si>
  <si>
    <t>1560-2303</t>
  </si>
  <si>
    <t>SPIE-SOC PHOTO-OPTICAL INSTRUMENTATION ENGINEERS</t>
  </si>
  <si>
    <t>OPTICAL AND QUANTUM ELECTRONICS</t>
  </si>
  <si>
    <t>0306-8919</t>
  </si>
  <si>
    <t>1572-817X</t>
  </si>
  <si>
    <t>OPTICA APPLICATA</t>
  </si>
  <si>
    <t>0078-5466</t>
  </si>
  <si>
    <t>1899-7015</t>
  </si>
  <si>
    <t>WROCLAW UNIV SCIENCE TECHNOLOGY</t>
  </si>
  <si>
    <t>OPERATIONS RESEARCH PERSPECTIVES</t>
  </si>
  <si>
    <t>2214-7160</t>
  </si>
  <si>
    <t>OPERATIONS RESEARCH LETTERS</t>
  </si>
  <si>
    <t>0167-6377</t>
  </si>
  <si>
    <t>1872-7468</t>
  </si>
  <si>
    <t>OPERATIONS RESEARCH</t>
  </si>
  <si>
    <t>0030-364X</t>
  </si>
  <si>
    <t>INFORMS</t>
  </si>
  <si>
    <t>OPERATIONAL RESEARCH</t>
  </si>
  <si>
    <t>1109-2858</t>
  </si>
  <si>
    <t>1866-1505</t>
  </si>
  <si>
    <t>OCEAN ENGINEERING</t>
  </si>
  <si>
    <t>0029-8018</t>
  </si>
  <si>
    <t>1873-5258</t>
  </si>
  <si>
    <t>NUMERICAL METHODS FOR PARTIAL DIFFERENTIAL EQUATIONS</t>
  </si>
  <si>
    <t>0749-159X</t>
  </si>
  <si>
    <t>1098-2426</t>
  </si>
  <si>
    <t>NUMERICAL HEAT TRANSFER PART B-FUNDAMENTALS</t>
  </si>
  <si>
    <t>1040-7790</t>
  </si>
  <si>
    <t>1521-0626</t>
  </si>
  <si>
    <t>NUMERICAL HEAT TRANSFER PART A-APPLICATIONS</t>
  </si>
  <si>
    <t>1040-7782</t>
  </si>
  <si>
    <t>1521-0634</t>
  </si>
  <si>
    <t>NUCLEAR TECHNOLOGY &amp; RADIATION PROTECTION</t>
  </si>
  <si>
    <t>1451-3994</t>
  </si>
  <si>
    <t>1452-8185</t>
  </si>
  <si>
    <t>NUCLEAR TECHNOLOGY</t>
  </si>
  <si>
    <t>0029-5450</t>
  </si>
  <si>
    <t>1943-7471</t>
  </si>
  <si>
    <t>NUCLEAR SCIENCE AND ENGINEERING</t>
  </si>
  <si>
    <t>0029-5639</t>
  </si>
  <si>
    <t>1943-748X</t>
  </si>
  <si>
    <t>NUCLEAR MATERIALS AND ENERGY</t>
  </si>
  <si>
    <t>2352-1791</t>
  </si>
  <si>
    <t>NUCLEAR ENGINEERING INTERNATIONAL</t>
  </si>
  <si>
    <t>0029-5507</t>
  </si>
  <si>
    <t>WILMINGTON PUBL</t>
  </si>
  <si>
    <t>NUCLEAR ENGINEERING AND TECHNOLOGY</t>
  </si>
  <si>
    <t>1738-5733</t>
  </si>
  <si>
    <t>KOREAN NUCLEAR SOC</t>
  </si>
  <si>
    <t>NUCLEAR ENGINEERING AND DESIGN</t>
  </si>
  <si>
    <t>0029-5493</t>
  </si>
  <si>
    <t>1872-759X</t>
  </si>
  <si>
    <t>NONLINEAR DYNAMICS</t>
  </si>
  <si>
    <t>0924-090X</t>
  </si>
  <si>
    <t>1573-269X</t>
  </si>
  <si>
    <t>NOISE CONTROL ENGINEERING JOURNAL</t>
  </si>
  <si>
    <t>0736-2501</t>
  </si>
  <si>
    <t>INST NOISE CONTROL ENGINEERING</t>
  </si>
  <si>
    <t>NIHON REOROJI GAKKAISHI</t>
  </si>
  <si>
    <t>0387-1533</t>
  </si>
  <si>
    <t>SOC RHEOLOGY, JAPAN</t>
  </si>
  <si>
    <t>NEURAL COMPUTING &amp; APPLICATIONS</t>
  </si>
  <si>
    <t>0941-0643</t>
  </si>
  <si>
    <t>1433-3058</t>
  </si>
  <si>
    <t>NETWORKS &amp; SPATIAL ECONOMICS</t>
  </si>
  <si>
    <t>1566-113X</t>
  </si>
  <si>
    <t>1572-9427</t>
  </si>
  <si>
    <t>NETWORK-COMPUTATION IN NEURAL SYSTEMS</t>
  </si>
  <si>
    <t>0954-898X</t>
  </si>
  <si>
    <t>1361-6536</t>
  </si>
  <si>
    <t>NAVIGATION-JOURNAL OF THE INSTITUTE OF NAVIGATION</t>
  </si>
  <si>
    <t>0028-1522</t>
  </si>
  <si>
    <t>2161-4296</t>
  </si>
  <si>
    <t>Inst Navigation - ION</t>
  </si>
  <si>
    <t>NAVAL RESEARCH LOGISTICS</t>
  </si>
  <si>
    <t>0894-069X</t>
  </si>
  <si>
    <t>1520-6750</t>
  </si>
  <si>
    <t>NAVAL ENGINEERS JOURNAL</t>
  </si>
  <si>
    <t>0028-1425</t>
  </si>
  <si>
    <t>1559-3584</t>
  </si>
  <si>
    <t>AMER SOC NAVAL ENG INC</t>
  </si>
  <si>
    <t>NATURE ENERGY</t>
  </si>
  <si>
    <t>2058-7546</t>
  </si>
  <si>
    <t>NATURE PORTFOLIO</t>
  </si>
  <si>
    <t>NATURE ELECTRONICS</t>
  </si>
  <si>
    <t>2520-1131</t>
  </si>
  <si>
    <t>NATURAL HAZARDS REVIEW</t>
  </si>
  <si>
    <t>1527-6988</t>
  </si>
  <si>
    <t>1527-6996</t>
  </si>
  <si>
    <t>ASCE-AMER SOC CIVIL ENGINEERS</t>
  </si>
  <si>
    <t>NANOSCALE AND MICROSCALE THERMOPHYSICAL ENGINEERING</t>
  </si>
  <si>
    <t>1556-7265</t>
  </si>
  <si>
    <t>1556-7273</t>
  </si>
  <si>
    <t>MULTIDISCIPLINE MODELING IN MATERIALS AND STRUCTURES</t>
  </si>
  <si>
    <t>1573-6105</t>
  </si>
  <si>
    <t>1573-6113</t>
  </si>
  <si>
    <t>MULTIBODY SYSTEM DYNAMICS</t>
  </si>
  <si>
    <t>1384-5640</t>
  </si>
  <si>
    <t>1573-272X</t>
  </si>
  <si>
    <t>MODELING IDENTIFICATION AND CONTROL</t>
  </si>
  <si>
    <t>0332-7353</t>
  </si>
  <si>
    <t>1890-1328</t>
  </si>
  <si>
    <t>NORWAY</t>
  </si>
  <si>
    <t>MIC</t>
  </si>
  <si>
    <t>MIT TECHNOLOGY REVIEW</t>
  </si>
  <si>
    <t>1099-274X</t>
  </si>
  <si>
    <t>TECHNOL REV</t>
  </si>
  <si>
    <t>MINERAL PROCESSING AND EXTRACTIVE METALLURGY REVIEW</t>
  </si>
  <si>
    <t>0882-7508</t>
  </si>
  <si>
    <t>1547-7401</t>
  </si>
  <si>
    <t>MICROWAVE JOURNAL</t>
  </si>
  <si>
    <t>0192-6225</t>
  </si>
  <si>
    <t>HORIZON HOUSE PUBLICATIONS INC</t>
  </si>
  <si>
    <t>MICROWAVE AND OPTICAL TECHNOLOGY LETTERS</t>
  </si>
  <si>
    <t>0895-2477</t>
  </si>
  <si>
    <t>1098-2760</t>
  </si>
  <si>
    <t>MICROSYSTEMS &amp; NANOENGINEERING</t>
  </si>
  <si>
    <t>2055-7434</t>
  </si>
  <si>
    <t>MICROMACHINES</t>
  </si>
  <si>
    <t>2072-666X</t>
  </si>
  <si>
    <t>MDPI</t>
  </si>
  <si>
    <t>MICROGRAVITY SCIENCE AND TECHNOLOGY</t>
  </si>
  <si>
    <t>0938-0108</t>
  </si>
  <si>
    <t>1875-0494</t>
  </si>
  <si>
    <t>MICROFLUIDICS AND NANOFLUIDICS</t>
  </si>
  <si>
    <t>1613-4982</t>
  </si>
  <si>
    <t>1613-4990</t>
  </si>
  <si>
    <t>MICROELECTRONICS RELIABILITY</t>
  </si>
  <si>
    <t>0026-2714</t>
  </si>
  <si>
    <t>1872-941X</t>
  </si>
  <si>
    <t>MICROELECTRONICS JOURNAL</t>
  </si>
  <si>
    <t>0026-2692</t>
  </si>
  <si>
    <t>1879-2391</t>
  </si>
  <si>
    <t>MICROELECTRONICS INTERNATIONAL</t>
  </si>
  <si>
    <t>1356-5362</t>
  </si>
  <si>
    <t>1758-812X</t>
  </si>
  <si>
    <t>MICROELECTRONIC ENGINEERING</t>
  </si>
  <si>
    <t>0167-9317</t>
  </si>
  <si>
    <t>1873-5568</t>
  </si>
  <si>
    <t>METROLOGIA</t>
  </si>
  <si>
    <t>0026-1394</t>
  </si>
  <si>
    <t>1681-7575</t>
  </si>
  <si>
    <t>IOP Publishing Ltd</t>
  </si>
  <si>
    <t>MEDICAL &amp; BIOLOGICAL ENGINEERING &amp; COMPUTING</t>
  </si>
  <si>
    <t>0140-0118</t>
  </si>
  <si>
    <t>1741-0444</t>
  </si>
  <si>
    <t>MECHATRONICS</t>
  </si>
  <si>
    <t>0957-4158</t>
  </si>
  <si>
    <t>MECHANISM AND MACHINE THEORY</t>
  </si>
  <si>
    <t>0094-114X</t>
  </si>
  <si>
    <t>1873-3999</t>
  </si>
  <si>
    <t>MECHANIKA</t>
  </si>
  <si>
    <t>1392-1207</t>
  </si>
  <si>
    <t>2029-6983</t>
  </si>
  <si>
    <t>KAUNAS UNIV TECHNOL</t>
  </si>
  <si>
    <t>MECHANICS RESEARCH COMMUNICATIONS</t>
  </si>
  <si>
    <t>0093-6413</t>
  </si>
  <si>
    <t>1873-3972</t>
  </si>
  <si>
    <t>MECHANICS BASED DESIGN OF STRUCTURES AND MACHINES</t>
  </si>
  <si>
    <t>1539-7734</t>
  </si>
  <si>
    <t>1539-7742</t>
  </si>
  <si>
    <t>MECHANICS &amp; INDUSTRY</t>
  </si>
  <si>
    <t>2257-7777</t>
  </si>
  <si>
    <t>2257-7750</t>
  </si>
  <si>
    <t>MECHANICAL SYSTEMS AND SIGNAL PROCESSING</t>
  </si>
  <si>
    <t>0888-3270</t>
  </si>
  <si>
    <t>1096-1216</t>
  </si>
  <si>
    <t>ACADEMIC PRESS LTD- ELSEVIER SCIENCE LTD</t>
  </si>
  <si>
    <t>MECHANICAL SCIENCES</t>
  </si>
  <si>
    <t>2191-9151</t>
  </si>
  <si>
    <t>2191-916X</t>
  </si>
  <si>
    <t>COPERNICUS GESELLSCHAFT MBH</t>
  </si>
  <si>
    <t>MECHANICAL ENGINEERING</t>
  </si>
  <si>
    <t>0025-6501</t>
  </si>
  <si>
    <t>1943-5649</t>
  </si>
  <si>
    <t>ASME</t>
  </si>
  <si>
    <t>MECCANICA</t>
  </si>
  <si>
    <t>0025-6455</t>
  </si>
  <si>
    <t>1572-9648</t>
  </si>
  <si>
    <t>ITALY</t>
  </si>
  <si>
    <t>MEASUREMENT SCIENCE REVIEW</t>
  </si>
  <si>
    <t>1335-8871</t>
  </si>
  <si>
    <t>SLOVAKIA</t>
  </si>
  <si>
    <t>MEASUREMENT SCIENCE AND TECHNOLOGY</t>
  </si>
  <si>
    <t>0957-0233</t>
  </si>
  <si>
    <t>1361-6501</t>
  </si>
  <si>
    <t>MEASUREMENT &amp; CONTROL</t>
  </si>
  <si>
    <t>0020-2940</t>
  </si>
  <si>
    <t>2051-8730</t>
  </si>
  <si>
    <t>MEASUREMENT</t>
  </si>
  <si>
    <t>0263-2241</t>
  </si>
  <si>
    <t>1873-412X</t>
  </si>
  <si>
    <t>MATHEMATICS OF CONTROL SIGNALS AND SYSTEMS</t>
  </si>
  <si>
    <t>0932-4194</t>
  </si>
  <si>
    <t>1435-568X</t>
  </si>
  <si>
    <t>MATHEMATICS AND MECHANICS OF SOLIDS</t>
  </si>
  <si>
    <t>1081-2865</t>
  </si>
  <si>
    <t>1741-3028</t>
  </si>
  <si>
    <t>MATHEMATICS AND COMPUTERS IN SIMULATION</t>
  </si>
  <si>
    <t>0378-4754</t>
  </si>
  <si>
    <t>1872-7166</t>
  </si>
  <si>
    <t>MATHEMATICAL METHODS OF OPERATIONS RESEARCH</t>
  </si>
  <si>
    <t>1432-2994</t>
  </si>
  <si>
    <t>1432-5217</t>
  </si>
  <si>
    <t>MARINE TECHNOLOGY SOCIETY JOURNAL</t>
  </si>
  <si>
    <t>0025-3324</t>
  </si>
  <si>
    <t>1948-1209</t>
  </si>
  <si>
    <t>MARINE TECHNOLOGY SOC INC</t>
  </si>
  <si>
    <t>MARINE STRUCTURES</t>
  </si>
  <si>
    <t>0951-8339</t>
  </si>
  <si>
    <t>1873-4170</t>
  </si>
  <si>
    <t>MANUFACTURING ENGINEERING</t>
  </si>
  <si>
    <t>0361-0853</t>
  </si>
  <si>
    <t>SOC MANUFACTURING ENGINEERS</t>
  </si>
  <si>
    <t>MACHINING SCIENCE AND TECHNOLOGY</t>
  </si>
  <si>
    <t>1091-0344</t>
  </si>
  <si>
    <t>1532-2483</t>
  </si>
  <si>
    <t>MACHINES</t>
  </si>
  <si>
    <t>2075-1702</t>
  </si>
  <si>
    <t>MACHINE VISION AND APPLICATIONS</t>
  </si>
  <si>
    <t>0932-8092</t>
  </si>
  <si>
    <t>1432-1769</t>
  </si>
  <si>
    <t>MACHINE LEARNING</t>
  </si>
  <si>
    <t>0885-6125</t>
  </si>
  <si>
    <t>1573-0565</t>
  </si>
  <si>
    <t>LUBRICATION SCIENCE</t>
  </si>
  <si>
    <t>0954-0075</t>
  </si>
  <si>
    <t>1557-6833</t>
  </si>
  <si>
    <t>LUBRICANTS</t>
  </si>
  <si>
    <t>2075-4442</t>
  </si>
  <si>
    <t>LIGHTING RESEARCH &amp; TECHNOLOGY</t>
  </si>
  <si>
    <t>1477-1535</t>
  </si>
  <si>
    <t>1477-0938</t>
  </si>
  <si>
    <t>LIGHT &amp; ENGINEERING</t>
  </si>
  <si>
    <t>0236-2945</t>
  </si>
  <si>
    <t>ZNACK PUBLISHING HOUSE</t>
  </si>
  <si>
    <t>LEUKOS</t>
  </si>
  <si>
    <t>1550-2724</t>
  </si>
  <si>
    <t>1550-2716</t>
  </si>
  <si>
    <t>LATIN AMERICAN JOURNAL OF SOLIDS AND STRUCTURES</t>
  </si>
  <si>
    <t>1679-7825</t>
  </si>
  <si>
    <t>BRAZIL</t>
  </si>
  <si>
    <t>LATIN AMER J SOLIDS STRUCTURES</t>
  </si>
  <si>
    <t>LASERS IN ENGINEERING</t>
  </si>
  <si>
    <t>0898-1507</t>
  </si>
  <si>
    <t>1029-029X</t>
  </si>
  <si>
    <t>OLD CITY PUBLISHING INC</t>
  </si>
  <si>
    <t>LASER FOCUS WORLD</t>
  </si>
  <si>
    <t>1043-8092</t>
  </si>
  <si>
    <t>PENNWELL PUBL CO</t>
  </si>
  <si>
    <t>KYBERNETIKA</t>
  </si>
  <si>
    <t>0023-5954</t>
  </si>
  <si>
    <t>KYBERNETES</t>
  </si>
  <si>
    <t>0368-492X</t>
  </si>
  <si>
    <t>1758-7883</t>
  </si>
  <si>
    <t>KSCE JOURNAL OF CIVIL ENGINEERING</t>
  </si>
  <si>
    <t>1226-7988</t>
  </si>
  <si>
    <t>1976-3808</t>
  </si>
  <si>
    <t>KOREAN SOCIETY OF CIVIL ENGINEERS-KSCE</t>
  </si>
  <si>
    <t>KOREA-AUSTRALIA RHEOLOGY JOURNAL</t>
  </si>
  <si>
    <t>1226-119X</t>
  </si>
  <si>
    <t>2093-7660</t>
  </si>
  <si>
    <t>KOREAN SOC RHEOLOGY</t>
  </si>
  <si>
    <t>KERNTECHNIK</t>
  </si>
  <si>
    <t>0932-3902</t>
  </si>
  <si>
    <t>2195-8580</t>
  </si>
  <si>
    <t>JOURNAL OF ZHEJIANG UNIVERSITY-SCIENCE A</t>
  </si>
  <si>
    <t>1673-565X</t>
  </si>
  <si>
    <t>1862-1775</t>
  </si>
  <si>
    <t>ZHEJIANG UNIV PRESS</t>
  </si>
  <si>
    <t>JOURNAL OF WIND ENGINEERING AND INDUSTRIAL AERODYNAMICS</t>
  </si>
  <si>
    <t>0167-6105</t>
  </si>
  <si>
    <t>1872-8197</t>
  </si>
  <si>
    <t>JOURNAL OF WATERWAY PORT COASTAL AND OCEAN ENGINEERING</t>
  </si>
  <si>
    <t>0733-950X</t>
  </si>
  <si>
    <t>1943-5460</t>
  </si>
  <si>
    <t>JOURNAL OF WATER PROCESS ENGINEERING</t>
  </si>
  <si>
    <t>2214-7144</t>
  </si>
  <si>
    <t>JOURNAL OF VIBRATION ENGINEERING &amp; TECHNOLOGIES</t>
  </si>
  <si>
    <t>2523-3920</t>
  </si>
  <si>
    <t>2523-3939</t>
  </si>
  <si>
    <t>JOURNAL OF VIBRATION AND CONTROL</t>
  </si>
  <si>
    <t>1077-5463</t>
  </si>
  <si>
    <t>1741-2986</t>
  </si>
  <si>
    <t>JOURNAL OF VIBRATION AND ACOUSTICS-TRANSACTIONS OF THE ASME</t>
  </si>
  <si>
    <t>1048-9002</t>
  </si>
  <si>
    <t>1528-8927</t>
  </si>
  <si>
    <t>JOURNAL OF URBAN PLANNING AND DEVELOPMENT</t>
  </si>
  <si>
    <t>0733-9488</t>
  </si>
  <si>
    <t>1943-5444</t>
  </si>
  <si>
    <t>JOURNAL OF TURBOMACHINERY-TRANSACTIONS OF THE ASME</t>
  </si>
  <si>
    <t>0889-504X</t>
  </si>
  <si>
    <t>1528-8900</t>
  </si>
  <si>
    <t>JOURNAL OF TRIBOLOGY-TRANSACTIONS OF THE ASME</t>
  </si>
  <si>
    <t>0742-4787</t>
  </si>
  <si>
    <t>1528-8897</t>
  </si>
  <si>
    <t>JOURNAL OF TRANSPORTATION ENGINEERING PART B-PAVEMENTS</t>
  </si>
  <si>
    <t>2573-5438</t>
  </si>
  <si>
    <t>JOURNAL OF TRANSPORTATION ENGINEERING PART A-SYSTEMS</t>
  </si>
  <si>
    <t>2473-2907</t>
  </si>
  <si>
    <t>2473-2893</t>
  </si>
  <si>
    <t>JOURNAL OF THERMOPHYSICS AND HEAT TRANSFER</t>
  </si>
  <si>
    <t>0887-8722</t>
  </si>
  <si>
    <t>1533-6808</t>
  </si>
  <si>
    <t>AMER INST AERONAUTICS  ASTRONAUTICS</t>
  </si>
  <si>
    <t>JOURNAL OF THERMAL STRESSES</t>
  </si>
  <si>
    <t>0149-5739</t>
  </si>
  <si>
    <t>1521-074X</t>
  </si>
  <si>
    <t>JOURNAL OF THERMAL SCIENCE AND TECHNOLOGY</t>
  </si>
  <si>
    <t>1880-5566</t>
  </si>
  <si>
    <t>JAPAN SOC MECHANICAL ENGINEERS</t>
  </si>
  <si>
    <t>JOURNAL OF THERMAL SCIENCE AND ENGINEERING APPLICATIONS</t>
  </si>
  <si>
    <t>1948-5085</t>
  </si>
  <si>
    <t>1948-5093</t>
  </si>
  <si>
    <t>JOURNAL OF THERMAL SCIENCE</t>
  </si>
  <si>
    <t>1003-2169</t>
  </si>
  <si>
    <t>1993-033X</t>
  </si>
  <si>
    <t>JOURNAL OF THEORETICAL AND APPLIED MECHANICS</t>
  </si>
  <si>
    <t>1429-2955</t>
  </si>
  <si>
    <t>POLISH SOC THEORETICAL &amp; APPLIED MECHANICS</t>
  </si>
  <si>
    <t>JOURNAL OF THE SOUTH AFRICAN INSTITUTION OF CIVIL ENGINEERING</t>
  </si>
  <si>
    <t>1021-2019</t>
  </si>
  <si>
    <t>SAICE-SAISI</t>
  </si>
  <si>
    <t>JOURNAL OF THE SOCIETY FOR INFORMATION DISPLAY</t>
  </si>
  <si>
    <t>1071-0922</t>
  </si>
  <si>
    <t>1938-3657</t>
  </si>
  <si>
    <t>JOURNAL OF THE OPERATIONAL RESEARCH SOCIETY</t>
  </si>
  <si>
    <t>0160-5682</t>
  </si>
  <si>
    <t>1476-9360</t>
  </si>
  <si>
    <t>JOURNAL OF THE MECHANICS AND PHYSICS OF SOLIDS</t>
  </si>
  <si>
    <t>0022-5096</t>
  </si>
  <si>
    <t>1873-4782</t>
  </si>
  <si>
    <t>JOURNAL OF THE FRANKLIN INSTITUTE-ENGINEERING AND APPLIED MATHEMATICS</t>
  </si>
  <si>
    <t>0016-0032</t>
  </si>
  <si>
    <t>1879-2693</t>
  </si>
  <si>
    <t>JOURNAL OF THE FACULTY OF ENGINEERING AND ARCHITECTURE OF GAZI UNIVERSITY</t>
  </si>
  <si>
    <t>1300-1884</t>
  </si>
  <si>
    <t>1304-4915</t>
  </si>
  <si>
    <t>GAZI UNIV, FAC ENGINEERING ARCHITECTURE</t>
  </si>
  <si>
    <t>JOURNAL OF THE ENERGY INSTITUTE</t>
  </si>
  <si>
    <t>1743-9671</t>
  </si>
  <si>
    <t>1746-0220</t>
  </si>
  <si>
    <t>JOURNAL OF THE CHINESE SOCIETY OF MECHANICAL ENGINEERS</t>
  </si>
  <si>
    <t>0257-9731</t>
  </si>
  <si>
    <t>TAIWAN</t>
  </si>
  <si>
    <t>CHINESE SOC MECHANICAL ENGINEERS</t>
  </si>
  <si>
    <t>JOURNAL OF THE CHINESE INSTITUTE OF ENGINEERS</t>
  </si>
  <si>
    <t>0253-3839</t>
  </si>
  <si>
    <t>2158-7299</t>
  </si>
  <si>
    <t>JOURNAL OF THE BRAZILIAN SOCIETY OF MECHANICAL SCIENCES AND ENGINEERING</t>
  </si>
  <si>
    <t>1678-5878</t>
  </si>
  <si>
    <t>1806-3691</t>
  </si>
  <si>
    <t>JOURNAL OF THE AUDIO ENGINEERING SOCIETY</t>
  </si>
  <si>
    <t>1549-4950</t>
  </si>
  <si>
    <t>AUDIO ENGINEERING SOC</t>
  </si>
  <si>
    <t>JOURNAL OF THE ASTRONAUTICAL SCIENCES</t>
  </si>
  <si>
    <t>0021-9142</t>
  </si>
  <si>
    <t>2195-0571</t>
  </si>
  <si>
    <t>JOURNAL OF THE AMERICAN HELICOPTER SOCIETY</t>
  </si>
  <si>
    <t>0002-8711</t>
  </si>
  <si>
    <t>2161-6027</t>
  </si>
  <si>
    <t>AMER HELICOPTER SOC INC</t>
  </si>
  <si>
    <t>JOURNAL OF THE AIR &amp; WASTE MANAGEMENT ASSOCIATION</t>
  </si>
  <si>
    <t>1096-2247</t>
  </si>
  <si>
    <t>2162-2906</t>
  </si>
  <si>
    <t>JOURNAL OF TERRAMECHANICS</t>
  </si>
  <si>
    <t>0022-4898</t>
  </si>
  <si>
    <t>1879-1204</t>
  </si>
  <si>
    <t>JOURNAL OF SYSTEMS SCIENCE AND SYSTEMS ENGINEERING</t>
  </si>
  <si>
    <t>1004-3756</t>
  </si>
  <si>
    <t>1861-9576</t>
  </si>
  <si>
    <t>JOURNAL OF SYSTEMS ENGINEERING AND ELECTRONICS</t>
  </si>
  <si>
    <t>1004-4132</t>
  </si>
  <si>
    <t>SYSTEMS ENGINEERING &amp; ELECTRONICS, EDITORIAL DEPT</t>
  </si>
  <si>
    <t>JOURNAL OF SYMBOLIC COMPUTATION</t>
  </si>
  <si>
    <t>0747-7171</t>
  </si>
  <si>
    <t>1095-855X</t>
  </si>
  <si>
    <t>JOURNAL OF SURVEYING ENGINEERING</t>
  </si>
  <si>
    <t>0733-9453</t>
  </si>
  <si>
    <t>1943-5428</t>
  </si>
  <si>
    <t>JOURNAL OF STRUCTURAL ENGINEERING</t>
  </si>
  <si>
    <t>0733-9445</t>
  </si>
  <si>
    <t>1943-541X</t>
  </si>
  <si>
    <t>JOURNAL OF STRAIN ANALYSIS FOR ENGINEERING DESIGN</t>
  </si>
  <si>
    <t>0309-3247</t>
  </si>
  <si>
    <t>2041-3130</t>
  </si>
  <si>
    <t>JOURNAL OF SPACECRAFT AND ROCKETS</t>
  </si>
  <si>
    <t>0022-4650</t>
  </si>
  <si>
    <t>1533-6794</t>
  </si>
  <si>
    <t>JOURNAL OF SOUND AND VIBRATION</t>
  </si>
  <si>
    <t>0022-460X</t>
  </si>
  <si>
    <t>1095-8568</t>
  </si>
  <si>
    <t>JOURNAL OF SOLAR ENERGY ENGINEERING-TRANSACTIONS OF THE ASME</t>
  </si>
  <si>
    <t>0199-6231</t>
  </si>
  <si>
    <t>1528-8986</t>
  </si>
  <si>
    <t>JOURNAL OF SIMULATION</t>
  </si>
  <si>
    <t>1747-7778</t>
  </si>
  <si>
    <t>1747-7786</t>
  </si>
  <si>
    <t>JOURNAL OF SIGNAL PROCESSING SYSTEMS FOR SIGNAL IMAGE AND VIDEO TECHNOLOGY</t>
  </si>
  <si>
    <t>1939-8018</t>
  </si>
  <si>
    <t>1939-8115</t>
  </si>
  <si>
    <t>JOURNAL OF SHIP RESEARCH</t>
  </si>
  <si>
    <t>0022-4502</t>
  </si>
  <si>
    <t>1542-0604</t>
  </si>
  <si>
    <t>SOC NAVAL ARCHITECTS &amp; MARINE ENGINEERS</t>
  </si>
  <si>
    <t>JOURNAL OF SHIP PRODUCTION AND DESIGN</t>
  </si>
  <si>
    <t>2158-2866</t>
  </si>
  <si>
    <t>2158-2874</t>
  </si>
  <si>
    <t>JOURNAL OF SENSORS</t>
  </si>
  <si>
    <t>1687-725X</t>
  </si>
  <si>
    <t>1687-7268</t>
  </si>
  <si>
    <t>JOURNAL OF SEMICONDUCTOR TECHNOLOGY AND SCIENCE</t>
  </si>
  <si>
    <t>1598-1657</t>
  </si>
  <si>
    <t>2233-4866</t>
  </si>
  <si>
    <t>IEEK PUBLICATION CENTER</t>
  </si>
  <si>
    <t>JOURNAL OF SCIENTIFIC &amp; INDUSTRIAL RESEARCH</t>
  </si>
  <si>
    <t>0022-4456</t>
  </si>
  <si>
    <t>0975-1084</t>
  </si>
  <si>
    <t>NATL INST SCIENCE COMMUNICATION-NISCAIR</t>
  </si>
  <si>
    <t>JOURNAL OF SCHEDULING</t>
  </si>
  <si>
    <t>1094-6136</t>
  </si>
  <si>
    <t>1099-1425</t>
  </si>
  <si>
    <t>JOURNAL OF RUSSIAN LASER RESEARCH</t>
  </si>
  <si>
    <t>1071-2836</t>
  </si>
  <si>
    <t>1573-8760</t>
  </si>
  <si>
    <t>JOURNAL OF RESEARCH OF THE NATIONAL INSTITUTE OF STANDARDS AND TECHNOLOGY</t>
  </si>
  <si>
    <t>1044-677X</t>
  </si>
  <si>
    <t>2165-7254</t>
  </si>
  <si>
    <t>NATL INST STANDARDS &amp; TECHNOLOGY-NIST</t>
  </si>
  <si>
    <t>JOURNAL OF RENEWABLE AND SUSTAINABLE ENERGY</t>
  </si>
  <si>
    <t>1941-7012</t>
  </si>
  <si>
    <t>AIP Publishing</t>
  </si>
  <si>
    <t>JOURNAL OF QUALITY TECHNOLOGY</t>
  </si>
  <si>
    <t>0022-4065</t>
  </si>
  <si>
    <t>2575-6230</t>
  </si>
  <si>
    <t>JOURNAL OF PROPULSION AND POWER</t>
  </si>
  <si>
    <t>0748-4658</t>
  </si>
  <si>
    <t>1533-3876</t>
  </si>
  <si>
    <t>JOURNAL OF PROCESS CONTROL</t>
  </si>
  <si>
    <t>0959-1524</t>
  </si>
  <si>
    <t>1873-2771</t>
  </si>
  <si>
    <t>JOURNAL OF PRESSURE VESSEL TECHNOLOGY-TRANSACTIONS OF THE ASME</t>
  </si>
  <si>
    <t>0094-9930</t>
  </si>
  <si>
    <t>1528-8978</t>
  </si>
  <si>
    <t>JOURNAL OF POWER ELECTRONICS</t>
  </si>
  <si>
    <t>1598-2092</t>
  </si>
  <si>
    <t>2093-4718</t>
  </si>
  <si>
    <t>JOURNAL OF POROUS MEDIA</t>
  </si>
  <si>
    <t>1091-028X</t>
  </si>
  <si>
    <t>1934-0508</t>
  </si>
  <si>
    <t>BEGELL HOUSE INC</t>
  </si>
  <si>
    <t>JOURNAL OF PIPELINE SYSTEMS ENGINEERING AND PRACTICE</t>
  </si>
  <si>
    <t>1949-1190</t>
  </si>
  <si>
    <t>1949-1204</t>
  </si>
  <si>
    <t>JOURNAL OF PERFORMANCE OF CONSTRUCTED FACILITIES</t>
  </si>
  <si>
    <t>0887-3828</t>
  </si>
  <si>
    <t>1943-5509</t>
  </si>
  <si>
    <t>JOURNAL OF OPTIMIZATION THEORY AND APPLICATIONS</t>
  </si>
  <si>
    <t>0022-3239</t>
  </si>
  <si>
    <t>1573-2878</t>
  </si>
  <si>
    <t>JOURNAL OF OPTICAL TECHNOLOGY</t>
  </si>
  <si>
    <t>1070-9762</t>
  </si>
  <si>
    <t>1091-0786</t>
  </si>
  <si>
    <t>Optica Publishing Group</t>
  </si>
  <si>
    <t>JOURNAL OF OFFSHORE MECHANICS AND ARCTIC ENGINEERING-TRANSACTIONS OF THE ASME</t>
  </si>
  <si>
    <t>0892-7219</t>
  </si>
  <si>
    <t>1528-896X</t>
  </si>
  <si>
    <t>JOURNAL OF OCEAN ENGINEERING AND SCIENCE</t>
  </si>
  <si>
    <t>2468-0133</t>
  </si>
  <si>
    <t>JOURNAL OF NUCLEAR SCIENCE AND TECHNOLOGY</t>
  </si>
  <si>
    <t>0022-3131</t>
  </si>
  <si>
    <t>1881-1248</t>
  </si>
  <si>
    <t>JOURNAL OF NUCLEAR MATERIALS</t>
  </si>
  <si>
    <t>0022-3115</t>
  </si>
  <si>
    <t>1873-4820</t>
  </si>
  <si>
    <t>JOURNAL OF NON-NEWTONIAN FLUID MECHANICS</t>
  </si>
  <si>
    <t>0377-0257</t>
  </si>
  <si>
    <t>1873-2631</t>
  </si>
  <si>
    <t>JOURNAL OF NAVIGATION</t>
  </si>
  <si>
    <t>0373-4633</t>
  </si>
  <si>
    <t>1469-7785</t>
  </si>
  <si>
    <t>JOURNAL OF NANOELECTRONICS AND OPTOELECTRONICS</t>
  </si>
  <si>
    <t>1555-130X</t>
  </si>
  <si>
    <t>1555-1318</t>
  </si>
  <si>
    <t>AMER SCIENTIFIC PUBLISHERS</t>
  </si>
  <si>
    <t>JOURNAL OF MODERN POWER SYSTEMS AND CLEAN ENERGY</t>
  </si>
  <si>
    <t>2196-5625</t>
  </si>
  <si>
    <t>2196-5420</t>
  </si>
  <si>
    <t>STATE GRID ELECTRIC POWER RESEARCH INST</t>
  </si>
  <si>
    <t>JOURNAL OF MICROWAVE POWER AND ELECTROMAGNETIC ENERGY</t>
  </si>
  <si>
    <t>0832-7823</t>
  </si>
  <si>
    <t>JOURNAL OF MICROMECHANICS AND MICROENGINEERING</t>
  </si>
  <si>
    <t>0960-1317</t>
  </si>
  <si>
    <t>1361-6439</t>
  </si>
  <si>
    <t>JOURNAL OF MICROELECTROMECHANICAL SYSTEMS</t>
  </si>
  <si>
    <t>1057-7157</t>
  </si>
  <si>
    <t>1941-0158</t>
  </si>
  <si>
    <t>JOURNAL OF MICRO-NANOPATTERNING MATERIALS AND METROLOGY-JM3</t>
  </si>
  <si>
    <t>1932-5150</t>
  </si>
  <si>
    <t>2708-8340</t>
  </si>
  <si>
    <t>JOURNAL OF MECHANISMS AND ROBOTICS-TRANSACTIONS OF THE ASME</t>
  </si>
  <si>
    <t>1942-4302</t>
  </si>
  <si>
    <t>1942-4310</t>
  </si>
  <si>
    <t>JOURNAL OF MECHANICS OF MATERIALS AND STRUCTURES</t>
  </si>
  <si>
    <t>1559-3959</t>
  </si>
  <si>
    <t>MATHEMATICAL SCIENCE PUBL</t>
  </si>
  <si>
    <t>JOURNAL OF MECHANICS</t>
  </si>
  <si>
    <t>1727-7191</t>
  </si>
  <si>
    <t>1811-8216</t>
  </si>
  <si>
    <t>JOURNAL OF MECHANICAL SCIENCE AND TECHNOLOGY</t>
  </si>
  <si>
    <t>1738-494X</t>
  </si>
  <si>
    <t>1976-3824</t>
  </si>
  <si>
    <t>KOREAN SOC MECHANICAL ENGINEERS</t>
  </si>
  <si>
    <t>JOURNAL OF MECHANICAL DESIGN</t>
  </si>
  <si>
    <t>1050-0472</t>
  </si>
  <si>
    <t>1528-9001</t>
  </si>
  <si>
    <t>JOURNAL OF MATERIALS IN CIVIL ENGINEERING</t>
  </si>
  <si>
    <t>0899-1561</t>
  </si>
  <si>
    <t>1943-5533</t>
  </si>
  <si>
    <t>JOURNAL OF MARINE SCIENCE AND TECHNOLOGY-TAIWAN</t>
  </si>
  <si>
    <t>1023-2796</t>
  </si>
  <si>
    <t>2709-6998</t>
  </si>
  <si>
    <t>NATL TAIWAN OCEAN UNIV</t>
  </si>
  <si>
    <t>JOURNAL OF MARINE SCIENCE AND TECHNOLOGY</t>
  </si>
  <si>
    <t>0948-4280</t>
  </si>
  <si>
    <t>1437-8213</t>
  </si>
  <si>
    <t>SPRINGER JAPAN KK</t>
  </si>
  <si>
    <t>JOURNAL OF MARINE ENGINEERING AND TECHNOLOGY</t>
  </si>
  <si>
    <t>2046-4177</t>
  </si>
  <si>
    <t>2056-8487</t>
  </si>
  <si>
    <t>JOURNAL OF MANUFACTURING TECHNOLOGY MANAGEMENT</t>
  </si>
  <si>
    <t>1741-038X</t>
  </si>
  <si>
    <t>1758-7786</t>
  </si>
  <si>
    <t>JOURNAL OF MANUFACTURING SYSTEMS</t>
  </si>
  <si>
    <t>0278-6125</t>
  </si>
  <si>
    <t>1878-6642</t>
  </si>
  <si>
    <t>JOURNAL OF MANUFACTURING SCIENCE AND ENGINEERING-TRANSACTIONS OF THE ASME</t>
  </si>
  <si>
    <t>1087-1357</t>
  </si>
  <si>
    <t>1528-8935</t>
  </si>
  <si>
    <t>JOURNAL OF MANUFACTURING PROCESSES</t>
  </si>
  <si>
    <t>1526-6125</t>
  </si>
  <si>
    <t>2212-4616</t>
  </si>
  <si>
    <t>JOURNAL OF MANAGEMENT IN ENGINEERING</t>
  </si>
  <si>
    <t>0742-597X</t>
  </si>
  <si>
    <t>1943-5479</t>
  </si>
  <si>
    <t>JOURNAL OF LOW FREQUENCY NOISE VIBRATION AND ACTIVE CONTROL</t>
  </si>
  <si>
    <t>1461-3484</t>
  </si>
  <si>
    <t>2048-4046</t>
  </si>
  <si>
    <t>JOURNAL OF LIGHTWAVE TECHNOLOGY</t>
  </si>
  <si>
    <t>0733-8724</t>
  </si>
  <si>
    <t>1558-2213</t>
  </si>
  <si>
    <t>JOURNAL OF LASER APPLICATIONS</t>
  </si>
  <si>
    <t>1042-346X</t>
  </si>
  <si>
    <t>1938-1387</t>
  </si>
  <si>
    <t>JOURNAL OF IRRIGATION AND DRAINAGE ENGINEERING</t>
  </si>
  <si>
    <t>0733-9437</t>
  </si>
  <si>
    <t>1943-4774</t>
  </si>
  <si>
    <t>JOURNAL OF INTELLIGENT TRANSPORTATION SYSTEMS</t>
  </si>
  <si>
    <t>1547-2450</t>
  </si>
  <si>
    <t>1547-2442</t>
  </si>
  <si>
    <t>JOURNAL OF INTELLIGENT MANUFACTURING</t>
  </si>
  <si>
    <t>0956-5515</t>
  </si>
  <si>
    <t>1572-8145</t>
  </si>
  <si>
    <t>JOURNAL OF INTELLIGENT &amp; ROBOTIC SYSTEMS</t>
  </si>
  <si>
    <t>0921-0296</t>
  </si>
  <si>
    <t>1573-0409</t>
  </si>
  <si>
    <t>JOURNAL OF INFRASTRUCTURE SYSTEMS</t>
  </si>
  <si>
    <t>1076-0342</t>
  </si>
  <si>
    <t>1943-555X</t>
  </si>
  <si>
    <t>JOURNAL OF INFRARED MILLIMETER AND TERAHERTZ WAVES</t>
  </si>
  <si>
    <t>1866-6892</t>
  </si>
  <si>
    <t>1866-6906</t>
  </si>
  <si>
    <t>JOURNAL OF INDUSTRIAL INFORMATION INTEGRATION</t>
  </si>
  <si>
    <t>2467-964X</t>
  </si>
  <si>
    <t>2452-414X</t>
  </si>
  <si>
    <t>JOURNAL OF INDUSTRIAL AND MANAGEMENT OPTIMIZATION</t>
  </si>
  <si>
    <t>1547-5816</t>
  </si>
  <si>
    <t>1553-166X</t>
  </si>
  <si>
    <t>AMER INST MATHEMATICAL SCIENCES-AIMS</t>
  </si>
  <si>
    <t>JOURNAL OF IMAGING SCIENCE AND TECHNOLOGY</t>
  </si>
  <si>
    <t>1062-3701</t>
  </si>
  <si>
    <t>1943-3522</t>
  </si>
  <si>
    <t>I S &amp; T-SOC IMAGING SCIENCE TECHNOLOGY</t>
  </si>
  <si>
    <t>JOURNAL OF HYDROLOGY</t>
  </si>
  <si>
    <t>0022-1694</t>
  </si>
  <si>
    <t>1879-2707</t>
  </si>
  <si>
    <t>JOURNAL OF HYDROLOGIC ENGINEERING</t>
  </si>
  <si>
    <t>1084-0699</t>
  </si>
  <si>
    <t>1943-5584</t>
  </si>
  <si>
    <t>JOURNAL OF HYDRODYNAMICS</t>
  </si>
  <si>
    <t>1001-6058</t>
  </si>
  <si>
    <t>1878-0342</t>
  </si>
  <si>
    <t>JOURNAL OF HYDRAULIC RESEARCH</t>
  </si>
  <si>
    <t>0022-1686</t>
  </si>
  <si>
    <t>1814-2079</t>
  </si>
  <si>
    <t>JOURNAL OF HYDRAULIC ENGINEERING</t>
  </si>
  <si>
    <t>0733-9429</t>
  </si>
  <si>
    <t>1943-7900</t>
  </si>
  <si>
    <t>JOURNAL OF HAZARDOUS MATERIALS</t>
  </si>
  <si>
    <t>0304-3894</t>
  </si>
  <si>
    <t>1873-3336</t>
  </si>
  <si>
    <t>JOURNAL OF GUIDANCE CONTROL AND DYNAMICS</t>
  </si>
  <si>
    <t>0731-5090</t>
  </si>
  <si>
    <t>1533-3884</t>
  </si>
  <si>
    <t>JOURNAL OF GLOBAL OPTIMIZATION</t>
  </si>
  <si>
    <t>0925-5001</t>
  </si>
  <si>
    <t>1573-2916</t>
  </si>
  <si>
    <t>JOURNAL OF GEOTECHNICAL AND GEOENVIRONMENTAL ENGINEERING</t>
  </si>
  <si>
    <t>1090-0241</t>
  </si>
  <si>
    <t>1943-5606</t>
  </si>
  <si>
    <t>JOURNAL OF FUSION ENERGY</t>
  </si>
  <si>
    <t>0164-0313</t>
  </si>
  <si>
    <t>1572-9591</t>
  </si>
  <si>
    <t>JOURNAL OF FLUIDS ENGINEERING-TRANSACTIONS OF THE ASME</t>
  </si>
  <si>
    <t>0098-2202</t>
  </si>
  <si>
    <t>1528-901X</t>
  </si>
  <si>
    <t>JOURNAL OF FLUIDS AND STRUCTURES</t>
  </si>
  <si>
    <t>0889-9746</t>
  </si>
  <si>
    <t>1095-8622</t>
  </si>
  <si>
    <t>JOURNAL OF FLUID MECHANICS</t>
  </si>
  <si>
    <t>0022-1120</t>
  </si>
  <si>
    <t>1469-7645</t>
  </si>
  <si>
    <t>JOURNAL OF FIELD ROBOTICS</t>
  </si>
  <si>
    <t>1556-4959</t>
  </si>
  <si>
    <t>1556-4967</t>
  </si>
  <si>
    <t>JOURNAL OF ENVIRONMENTAL HEALTH SCIENCE AND ENGINEERING</t>
  </si>
  <si>
    <t>2052-336X</t>
  </si>
  <si>
    <t>JOURNAL OF ENVIRONMENTAL ENGINEERING</t>
  </si>
  <si>
    <t>0733-9372</t>
  </si>
  <si>
    <t>1943-7870</t>
  </si>
  <si>
    <t>JOURNAL OF ENVIRONMENTAL CHEMICAL ENGINEERING</t>
  </si>
  <si>
    <t>2213-2929</t>
  </si>
  <si>
    <t>2213-3437</t>
  </si>
  <si>
    <t>JOURNAL OF ENHANCED HEAT TRANSFER</t>
  </si>
  <si>
    <t>1065-5131</t>
  </si>
  <si>
    <t>1563-5074</t>
  </si>
  <si>
    <t>JOURNAL OF ENGINEERING TECHNOLOGY</t>
  </si>
  <si>
    <t>0747-9964</t>
  </si>
  <si>
    <t>AMER SOC ENGINEERING EDUCATION</t>
  </si>
  <si>
    <t>JOURNAL OF ENGINEERING RESEARCH</t>
  </si>
  <si>
    <t>2307-1877</t>
  </si>
  <si>
    <t>2307-1885</t>
  </si>
  <si>
    <t>KUWAIT</t>
  </si>
  <si>
    <t>ACADEMIC PUBLICATION COUNCIL</t>
  </si>
  <si>
    <t>JOURNAL OF ENGINEERING MECHANICS</t>
  </si>
  <si>
    <t>0733-9399</t>
  </si>
  <si>
    <t>1943-7889</t>
  </si>
  <si>
    <t>JOURNAL OF ENGINEERING MATHEMATICS</t>
  </si>
  <si>
    <t>0022-0833</t>
  </si>
  <si>
    <t>1573-2703</t>
  </si>
  <si>
    <t>JOURNAL OF ENGINEERING FOR GAS TURBINES AND POWER-TRANSACTIONS OF THE ASME</t>
  </si>
  <si>
    <t>0742-4795</t>
  </si>
  <si>
    <t>1528-8919</t>
  </si>
  <si>
    <t>JOURNAL OF ENGINEERING EDUCATION</t>
  </si>
  <si>
    <t>1069-4730</t>
  </si>
  <si>
    <t>2168-9830</t>
  </si>
  <si>
    <t>JOURNAL OF ENGINEERING DESIGN</t>
  </si>
  <si>
    <t>0954-4828</t>
  </si>
  <si>
    <t>1466-1837</t>
  </si>
  <si>
    <t>JOURNAL OF ENGINEERING AND TECHNOLOGY MANAGEMENT</t>
  </si>
  <si>
    <t>0923-4748</t>
  </si>
  <si>
    <t>1879-1719</t>
  </si>
  <si>
    <t>JOURNAL OF ENERGY STORAGE</t>
  </si>
  <si>
    <t>2352-152X</t>
  </si>
  <si>
    <t>2352-1538</t>
  </si>
  <si>
    <t>JOURNAL OF ENERGY RESOURCES TECHNOLOGY-TRANSACTIONS OF THE ASME</t>
  </si>
  <si>
    <t>0195-0738</t>
  </si>
  <si>
    <t>1528-8994</t>
  </si>
  <si>
    <t>JOURNAL OF ENERGY IN SOUTHERN AFRICA</t>
  </si>
  <si>
    <t>1021-447X</t>
  </si>
  <si>
    <t>2413-3051</t>
  </si>
  <si>
    <t>UNIV CAPE TOWN, ENERGY RES CENTRE</t>
  </si>
  <si>
    <t>JOURNAL OF ENERGY ENGINEERING</t>
  </si>
  <si>
    <t>0733-9402</t>
  </si>
  <si>
    <t>1943-7897</t>
  </si>
  <si>
    <t>JOURNAL OF ELECTROSTATICS</t>
  </si>
  <si>
    <t>0304-3886</t>
  </si>
  <si>
    <t>1873-5738</t>
  </si>
  <si>
    <t>JOURNAL OF ELECTRONIC TESTING-THEORY AND APPLICATIONS</t>
  </si>
  <si>
    <t>0923-8174</t>
  </si>
  <si>
    <t>1573-0727</t>
  </si>
  <si>
    <t>JOURNAL OF ELECTRONIC PACKAGING</t>
  </si>
  <si>
    <t>1043-7398</t>
  </si>
  <si>
    <t>1528-9044</t>
  </si>
  <si>
    <t>JOURNAL OF ELECTRONIC IMAGING</t>
  </si>
  <si>
    <t>1017-9909</t>
  </si>
  <si>
    <t>1560-229X</t>
  </si>
  <si>
    <t>JOURNAL OF ELECTROMAGNETIC WAVES AND APPLICATIONS</t>
  </si>
  <si>
    <t>0920-5071</t>
  </si>
  <si>
    <t>1569-3937</t>
  </si>
  <si>
    <t>JOURNAL OF ELECTROMAGNETIC ENGINEERING AND SCIENCE</t>
  </si>
  <si>
    <t>2671-7255</t>
  </si>
  <si>
    <t>2671-7263</t>
  </si>
  <si>
    <t>KOREAN INST ELECTROMAGNETIC ENGINEERING &amp; SCIENCE</t>
  </si>
  <si>
    <t>JOURNAL OF ELECTROCHEMICAL ENERGY CONVERSION AND STORAGE</t>
  </si>
  <si>
    <t>2381-6872</t>
  </si>
  <si>
    <t>2381-6910</t>
  </si>
  <si>
    <t>JOURNAL OF ELECTRICAL ENGINEERING-ELEKTROTECHNICKY CASOPIS</t>
  </si>
  <si>
    <t>1335-3632</t>
  </si>
  <si>
    <t>1339-309X</t>
  </si>
  <si>
    <t>SLOVAK UNIV TECHNOLOGY</t>
  </si>
  <si>
    <t>JOURNAL OF ELECTRICAL ENGINEERING &amp; TECHNOLOGY</t>
  </si>
  <si>
    <t>1975-0102</t>
  </si>
  <si>
    <t>2093-7423</t>
  </si>
  <si>
    <t>JOURNAL OF ELASTICITY</t>
  </si>
  <si>
    <t>0374-3535</t>
  </si>
  <si>
    <t>1573-2681</t>
  </si>
  <si>
    <t>JOURNAL OF EARTHQUAKE ENGINEERING</t>
  </si>
  <si>
    <t>1363-2469</t>
  </si>
  <si>
    <t>1559-808X</t>
  </si>
  <si>
    <t>JOURNAL OF DYNAMICAL AND CONTROL SYSTEMS</t>
  </si>
  <si>
    <t>1079-2724</t>
  </si>
  <si>
    <t>1573-8698</t>
  </si>
  <si>
    <t>JOURNAL OF DYNAMIC SYSTEMS MEASUREMENT AND CONTROL-TRANSACTIONS OF THE ASME</t>
  </si>
  <si>
    <t>0022-0434</t>
  </si>
  <si>
    <t>1528-9028</t>
  </si>
  <si>
    <t>JOURNAL OF CONSTRUCTIONAL STEEL RESEARCH</t>
  </si>
  <si>
    <t>0143-974X</t>
  </si>
  <si>
    <t>1873-5983</t>
  </si>
  <si>
    <t>JOURNAL OF CONSTRUCTION ENGINEERING AND MANAGEMENT</t>
  </si>
  <si>
    <t>0733-9364</t>
  </si>
  <si>
    <t>1943-7862</t>
  </si>
  <si>
    <t>JOURNAL OF COMPUTING IN CIVIL ENGINEERING</t>
  </si>
  <si>
    <t>0887-3801</t>
  </si>
  <si>
    <t>1943-5487</t>
  </si>
  <si>
    <t>JOURNAL OF COMPUTING AND INFORMATION SCIENCE IN ENGINEERING</t>
  </si>
  <si>
    <t>1530-9827</t>
  </si>
  <si>
    <t>1944-7078</t>
  </si>
  <si>
    <t>JOURNAL OF COMPUTATIONAL ELECTRONICS</t>
  </si>
  <si>
    <t>1569-8025</t>
  </si>
  <si>
    <t>1572-8137</t>
  </si>
  <si>
    <t>JOURNAL OF COMPUTATIONAL DESIGN AND ENGINEERING</t>
  </si>
  <si>
    <t>2288-5048</t>
  </si>
  <si>
    <t>JOURNAL OF COMPUTATIONAL AND NONLINEAR DYNAMICS</t>
  </si>
  <si>
    <t>1555-1423</t>
  </si>
  <si>
    <t>1555-1415</t>
  </si>
  <si>
    <t>JOURNAL OF COLD REGIONS ENGINEERING</t>
  </si>
  <si>
    <t>0887-381X</t>
  </si>
  <si>
    <t>1943-5495</t>
  </si>
  <si>
    <t>JOURNAL OF CLEANER PRODUCTION</t>
  </si>
  <si>
    <t>0959-6526</t>
  </si>
  <si>
    <t>1879-1786</t>
  </si>
  <si>
    <t>JOURNAL OF CIVIL STRUCTURAL HEALTH MONITORING</t>
  </si>
  <si>
    <t>2190-5452</t>
  </si>
  <si>
    <t>2190-5479</t>
  </si>
  <si>
    <t>JOURNAL OF CIVIL ENGINEERING EDUCATION</t>
  </si>
  <si>
    <t>2643-9107</t>
  </si>
  <si>
    <t>2643-9115</t>
  </si>
  <si>
    <t>JOURNAL OF CIVIL ENGINEERING AND MANAGEMENT</t>
  </si>
  <si>
    <t>1392-3730</t>
  </si>
  <si>
    <t>1822-3605</t>
  </si>
  <si>
    <t>JOURNAL OF CIRCUITS SYSTEMS AND COMPUTERS</t>
  </si>
  <si>
    <t>0218-1266</t>
  </si>
  <si>
    <t>1793-6454</t>
  </si>
  <si>
    <t>SINGAPORE</t>
  </si>
  <si>
    <t>WORLD SCIENTIFIC PUBL CO PTE LTD</t>
  </si>
  <si>
    <t>JOURNAL OF BUILDING PHYSICS</t>
  </si>
  <si>
    <t>1744-2591</t>
  </si>
  <si>
    <t>1744-2583</t>
  </si>
  <si>
    <t>JOURNAL OF BUILDING PERFORMANCE SIMULATION</t>
  </si>
  <si>
    <t>1940-1493</t>
  </si>
  <si>
    <t>1940-1507</t>
  </si>
  <si>
    <t>JOURNAL OF BUILDING ENGINEERING</t>
  </si>
  <si>
    <t>2352-7102</t>
  </si>
  <si>
    <t>JOURNAL OF BRIDGE ENGINEERING</t>
  </si>
  <si>
    <t>1084-0702</t>
  </si>
  <si>
    <t>1943-5592</t>
  </si>
  <si>
    <t>JOURNAL OF BIONIC ENGINEERING</t>
  </si>
  <si>
    <t>1672-6529</t>
  </si>
  <si>
    <t>2543-2141</t>
  </si>
  <si>
    <t>JOURNAL OF BIOMECHANICAL ENGINEERING-TRANSACTIONS OF THE ASME</t>
  </si>
  <si>
    <t>0148-0731</t>
  </si>
  <si>
    <t>1528-8951</t>
  </si>
  <si>
    <t>JOURNAL OF ASTRONOMICAL TELESCOPES INSTRUMENTS AND SYSTEMS</t>
  </si>
  <si>
    <t>2329-4124</t>
  </si>
  <si>
    <t>2329-4221</t>
  </si>
  <si>
    <t>JOURNAL OF ASIAN ARCHITECTURE AND BUILDING ENGINEERING</t>
  </si>
  <si>
    <t>1346-7581</t>
  </si>
  <si>
    <t>1347-2852</t>
  </si>
  <si>
    <t>JOURNAL OF APPLIED MECHANICS-TRANSACTIONS OF THE ASME</t>
  </si>
  <si>
    <t>0021-8936</t>
  </si>
  <si>
    <t>1528-9036</t>
  </si>
  <si>
    <t>JOURNAL OF APPLIED FLUID MECHANICS</t>
  </si>
  <si>
    <t>1735-3572</t>
  </si>
  <si>
    <t>1735-3645</t>
  </si>
  <si>
    <t>ISFAHAN UNIV TECHNOLOGY</t>
  </si>
  <si>
    <t>JOURNAL OF AIRCRAFT</t>
  </si>
  <si>
    <t>0021-8669</t>
  </si>
  <si>
    <t>1533-3868</t>
  </si>
  <si>
    <t>JOURNAL OF AEROSPACE INFORMATION SYSTEMS</t>
  </si>
  <si>
    <t>1940-3151</t>
  </si>
  <si>
    <t>2327-3097</t>
  </si>
  <si>
    <t>JOURNAL OF AEROSPACE ENGINEERING</t>
  </si>
  <si>
    <t>0893-1321</t>
  </si>
  <si>
    <t>1943-5525</t>
  </si>
  <si>
    <t>JOURNAL OF ADVANCED TRANSPORTATION</t>
  </si>
  <si>
    <t>0197-6729</t>
  </si>
  <si>
    <t>2042-3195</t>
  </si>
  <si>
    <t>WILEY-HINDAWI</t>
  </si>
  <si>
    <t>JOURNAL OF ADVANCED MECHANICAL DESIGN SYSTEMS AND MANUFACTURING</t>
  </si>
  <si>
    <t>1881-3054</t>
  </si>
  <si>
    <t>JOURNAL AWWA</t>
  </si>
  <si>
    <t>0003-150X</t>
  </si>
  <si>
    <t>1551-8833</t>
  </si>
  <si>
    <t>JOULE</t>
  </si>
  <si>
    <t>2542-4351</t>
  </si>
  <si>
    <t>CELL PRESS</t>
  </si>
  <si>
    <t>ITE JOURNAL-INSTITUTE OF TRANSPORTATION ENGINEERS</t>
  </si>
  <si>
    <t>0162-8178</t>
  </si>
  <si>
    <t>INST TRANSPORTATION ENGINEERS</t>
  </si>
  <si>
    <t>ISI BILIMI VE TEKNIGI DERGISI-JOURNAL OF THERMAL SCIENCE AND TECHNOLOGY</t>
  </si>
  <si>
    <t>1300-3615</t>
  </si>
  <si>
    <t>TURKISH SOC THERMAL SCIENCES TECHNOLOGY</t>
  </si>
  <si>
    <t>ISA TRANSACTIONS</t>
  </si>
  <si>
    <t>0019-0578</t>
  </si>
  <si>
    <t>1879-2022</t>
  </si>
  <si>
    <t>IRANIAN JOURNAL OF SCIENCE AND TECHNOLOGY-TRANSACTIONS OF MECHANICAL ENGINEERING</t>
  </si>
  <si>
    <t>2228-6187</t>
  </si>
  <si>
    <t>2364-1835</t>
  </si>
  <si>
    <t>IRANIAN JOURNAL OF SCIENCE AND TECHNOLOGY-TRANSACTIONS OF ELECTRICAL ENGINEERING</t>
  </si>
  <si>
    <t>2228-6179</t>
  </si>
  <si>
    <t>2364-1827</t>
  </si>
  <si>
    <t>SPRINGER INT PUBL AG</t>
  </si>
  <si>
    <t>IRANIAN JOURNAL OF SCIENCE AND TECHNOLOGY-TRANSACTIONS OF CIVIL ENGINEERING</t>
  </si>
  <si>
    <t>2228-6160</t>
  </si>
  <si>
    <t>2364-1843</t>
  </si>
  <si>
    <t>INTERNATIONAL TRANSACTIONS ON ELECTRICAL ENERGY SYSTEMS</t>
  </si>
  <si>
    <t>2050-7038</t>
  </si>
  <si>
    <t>INTERNATIONAL JOURNAL OF VENTILATION</t>
  </si>
  <si>
    <t>1473-3315</t>
  </si>
  <si>
    <t>2044-4044</t>
  </si>
  <si>
    <t>INTERNATIONAL JOURNAL OF VEHICLE DESIGN</t>
  </si>
  <si>
    <t>0143-3369</t>
  </si>
  <si>
    <t>1741-5314</t>
  </si>
  <si>
    <t>INTERNATIONAL JOURNAL OF TURBO &amp; JET-ENGINES</t>
  </si>
  <si>
    <t>0334-0082</t>
  </si>
  <si>
    <t>2191-0332</t>
  </si>
  <si>
    <t>INTERNATIONAL JOURNAL OF THERMAL SCIENCES</t>
  </si>
  <si>
    <t>1290-0729</t>
  </si>
  <si>
    <t>1778-4166</t>
  </si>
  <si>
    <t>ELSEVIER FRANCE-EDITIONS SCIENTIFIQUES MEDICALES ELSEVIER</t>
  </si>
  <si>
    <t>INTERNATIONAL JOURNAL OF SYSTEMS SCIENCE-OPERATIONS &amp; LOGISTICS</t>
  </si>
  <si>
    <t>2330-2674</t>
  </si>
  <si>
    <t>2330-2682</t>
  </si>
  <si>
    <t>INTERNATIONAL JOURNAL OF SYSTEMS SCIENCE</t>
  </si>
  <si>
    <t>0020-7721</t>
  </si>
  <si>
    <t>1464-5319</t>
  </si>
  <si>
    <t>INTERNATIONAL JOURNAL OF SURFACE SCIENCE AND ENGINEERING</t>
  </si>
  <si>
    <t>1749-785X</t>
  </si>
  <si>
    <t>1749-7868</t>
  </si>
  <si>
    <t>INTERNATIONAL JOURNAL OF STRUCTURAL STABILITY AND DYNAMICS</t>
  </si>
  <si>
    <t>0219-4554</t>
  </si>
  <si>
    <t>1793-6764</t>
  </si>
  <si>
    <t>INTERNATIONAL JOURNAL OF STEEL STRUCTURES</t>
  </si>
  <si>
    <t>1598-2351</t>
  </si>
  <si>
    <t>2093-6311</t>
  </si>
  <si>
    <t>KOREAN SOC STEEL CONSTRUCTION-KSSC</t>
  </si>
  <si>
    <t>INTERNATIONAL JOURNAL OF SPRAY AND COMBUSTION DYNAMICS</t>
  </si>
  <si>
    <t>1756-8277</t>
  </si>
  <si>
    <t>1756-8285</t>
  </si>
  <si>
    <t>INTERNATIONAL JOURNAL OF SOLIDS AND STRUCTURES</t>
  </si>
  <si>
    <t>0020-7683</t>
  </si>
  <si>
    <t>1879-2146</t>
  </si>
  <si>
    <t>INTERNATIONAL JOURNAL OF SOCIAL ROBOTICS</t>
  </si>
  <si>
    <t>1875-4791</t>
  </si>
  <si>
    <t>1875-4805</t>
  </si>
  <si>
    <t>INTERNATIONAL JOURNAL OF SIMULATION MODELLING</t>
  </si>
  <si>
    <t>1726-4529</t>
  </si>
  <si>
    <t>1996-8566</t>
  </si>
  <si>
    <t>AUSTRIA</t>
  </si>
  <si>
    <t>DAAAM INTERNATIONAL VIENNA</t>
  </si>
  <si>
    <t>INTERNATIONAL JOURNAL OF ROBUST AND NONLINEAR CONTROL</t>
  </si>
  <si>
    <t>1049-8923</t>
  </si>
  <si>
    <t>1099-1239</t>
  </si>
  <si>
    <t>INTERNATIONAL JOURNAL OF ROBOTICS RESEARCH</t>
  </si>
  <si>
    <t>0278-3649</t>
  </si>
  <si>
    <t>1741-3176</t>
  </si>
  <si>
    <t>INTERNATIONAL JOURNAL OF ROBOTICS &amp; AUTOMATION</t>
  </si>
  <si>
    <t>0826-8185</t>
  </si>
  <si>
    <t>1925-7090</t>
  </si>
  <si>
    <t>ACTA PRESS</t>
  </si>
  <si>
    <t>INTERNATIONAL JOURNAL OF RF AND MICROWAVE COMPUTER-AIDED ENGINEERING</t>
  </si>
  <si>
    <t>1096-4290</t>
  </si>
  <si>
    <t>1099-047X</t>
  </si>
  <si>
    <t>INTERNATIONAL JOURNAL OF REFRIGERATION</t>
  </si>
  <si>
    <t>0140-7007</t>
  </si>
  <si>
    <t>1879-2081</t>
  </si>
  <si>
    <t>INTERNATIONAL JOURNAL OF RAIL TRANSPORTATION</t>
  </si>
  <si>
    <t>2324-8378</t>
  </si>
  <si>
    <t>2324-8386</t>
  </si>
  <si>
    <t>INTERNATIONAL JOURNAL OF PRODUCTION RESEARCH</t>
  </si>
  <si>
    <t>0020-7543</t>
  </si>
  <si>
    <t>1366-588X</t>
  </si>
  <si>
    <t>INTERNATIONAL JOURNAL OF PRODUCTION ECONOMICS</t>
  </si>
  <si>
    <t>0925-5273</t>
  </si>
  <si>
    <t>1873-7579</t>
  </si>
  <si>
    <t>INTERNATIONAL JOURNAL OF PRESSURE VESSELS AND PIPING</t>
  </si>
  <si>
    <t>0308-0161</t>
  </si>
  <si>
    <t>1879-3541</t>
  </si>
  <si>
    <t>INTERNATIONAL JOURNAL OF PRECISION ENGINEERING AND MANUFACTURING-GREEN TECHNOLOGY</t>
  </si>
  <si>
    <t>2288-6206</t>
  </si>
  <si>
    <t>2198-0810</t>
  </si>
  <si>
    <t>KOREAN SOC PRECISION ENG</t>
  </si>
  <si>
    <t>INTERNATIONAL JOURNAL OF PRECISION ENGINEERING AND MANUFACTURING</t>
  </si>
  <si>
    <t>2234-7593</t>
  </si>
  <si>
    <t>2005-4602</t>
  </si>
  <si>
    <t>INTERNATIONAL JOURNAL OF PLASTICITY</t>
  </si>
  <si>
    <t>0749-6419</t>
  </si>
  <si>
    <t>1879-2154</t>
  </si>
  <si>
    <t>INTERNATIONAL JOURNAL OF PHYSICAL MODELLING IN GEOTECHNICS</t>
  </si>
  <si>
    <t>1346-213X</t>
  </si>
  <si>
    <t>2042-6550</t>
  </si>
  <si>
    <t>INTERNATIONAL JOURNAL OF PAVEMENT ENGINEERING</t>
  </si>
  <si>
    <t>1029-8436</t>
  </si>
  <si>
    <t>1477-268X</t>
  </si>
  <si>
    <t>INTERNATIONAL JOURNAL OF OPTOMECHATRONICS</t>
  </si>
  <si>
    <t>1559-9612</t>
  </si>
  <si>
    <t>1559-9620</t>
  </si>
  <si>
    <t>INTERNATIONAL JOURNAL OF OIL GAS AND COAL TECHNOLOGY</t>
  </si>
  <si>
    <t>1753-3309</t>
  </si>
  <si>
    <t>1753-3317</t>
  </si>
  <si>
    <t>INTERNATIONAL JOURNAL OF OFFSHORE AND POLAR ENGINEERING</t>
  </si>
  <si>
    <t>1053-5381</t>
  </si>
  <si>
    <t>INT SOC OFFSHORE POLAR ENGINEERS</t>
  </si>
  <si>
    <t>INTERNATIONAL JOURNAL OF NUMERICAL MODELLING-ELECTRONIC NETWORKS DEVICES AND FIELDS</t>
  </si>
  <si>
    <t>0894-3370</t>
  </si>
  <si>
    <t>1099-1204</t>
  </si>
  <si>
    <t>INTERNATIONAL JOURNAL OF NUMERICAL METHODS FOR HEAT &amp; FLUID FLOW</t>
  </si>
  <si>
    <t>0961-5539</t>
  </si>
  <si>
    <t>1758-6585</t>
  </si>
  <si>
    <t>WALES</t>
  </si>
  <si>
    <t>INTERNATIONAL JOURNAL OF NONLINEAR SCIENCES AND NUMERICAL SIMULATION</t>
  </si>
  <si>
    <t>1565-1339</t>
  </si>
  <si>
    <t>2191-0294</t>
  </si>
  <si>
    <t>INTERNATIONAL JOURNAL OF NON-LINEAR MECHANICS</t>
  </si>
  <si>
    <t>0020-7462</t>
  </si>
  <si>
    <t>1878-5638</t>
  </si>
  <si>
    <t>INTERNATIONAL JOURNAL OF NAVAL ARCHITECTURE AND OCEAN ENGINEERING</t>
  </si>
  <si>
    <t>2092-6782</t>
  </si>
  <si>
    <t>2092-6790</t>
  </si>
  <si>
    <t>SOC NAVAL ARCHITECTS KOREA</t>
  </si>
  <si>
    <t>INTERNATIONAL JOURNAL OF MULTIPHASE FLOW</t>
  </si>
  <si>
    <t>0301-9322</t>
  </si>
  <si>
    <t>1879-3533</t>
  </si>
  <si>
    <t>INTERNATIONAL JOURNAL OF MICROWAVE AND WIRELESS TECHNOLOGIES</t>
  </si>
  <si>
    <t>1759-0787</t>
  </si>
  <si>
    <t>1759-0795</t>
  </si>
  <si>
    <t>INTERNATIONAL JOURNAL OF MICRO AIR VEHICLES</t>
  </si>
  <si>
    <t>1756-8293</t>
  </si>
  <si>
    <t>1756-8307</t>
  </si>
  <si>
    <t>INTERNATIONAL JOURNAL OF MECHANICAL SCIENCES</t>
  </si>
  <si>
    <t>0020-7403</t>
  </si>
  <si>
    <t>1879-2162</t>
  </si>
  <si>
    <t>INTERNATIONAL JOURNAL OF MARITIME ENGINEERING</t>
  </si>
  <si>
    <t>1479-8751</t>
  </si>
  <si>
    <t>1740-0716</t>
  </si>
  <si>
    <t>UNIV BUCKINGHAM PRESS</t>
  </si>
  <si>
    <t>INTERNATIONAL JOURNAL OF MACHINE TOOLS &amp; MANUFACTURE</t>
  </si>
  <si>
    <t>0890-6955</t>
  </si>
  <si>
    <t>1879-2170</t>
  </si>
  <si>
    <t>INTERNATIONAL JOURNAL OF LOW-CARBON TECHNOLOGIES</t>
  </si>
  <si>
    <t>1748-1317</t>
  </si>
  <si>
    <t>1748-1325</t>
  </si>
  <si>
    <t>INTERNATIONAL JOURNAL OF LIFE CYCLE ASSESSMENT</t>
  </si>
  <si>
    <t>0948-3349</t>
  </si>
  <si>
    <t>1614-7502</t>
  </si>
  <si>
    <t>INTERNATIONAL JOURNAL OF INTELLIGENT SYSTEMS</t>
  </si>
  <si>
    <t>0884-8173</t>
  </si>
  <si>
    <t>1098-111X</t>
  </si>
  <si>
    <t>INTERNATIONAL JOURNAL OF INDUSTRIAL ERGONOMICS</t>
  </si>
  <si>
    <t>0169-8141</t>
  </si>
  <si>
    <t>1872-8219</t>
  </si>
  <si>
    <t>INTERNATIONAL JOURNAL OF INDUSTRIAL ENGINEERING-THEORY APPLICATIONS AND PRACTICE</t>
  </si>
  <si>
    <t>1072-4761</t>
  </si>
  <si>
    <t>1943-670X</t>
  </si>
  <si>
    <t>UNIV CINCINNATI INDUSTRIAL ENGINEERING</t>
  </si>
  <si>
    <t>INTERNATIONAL JOURNAL OF INDUSTRIAL ENGINEERING COMPUTATIONS</t>
  </si>
  <si>
    <t>1923-2926</t>
  </si>
  <si>
    <t>1923-2934</t>
  </si>
  <si>
    <t>GROWING SCIENCE</t>
  </si>
  <si>
    <t>INTERNATIONAL JOURNAL OF IMPACT ENGINEERING</t>
  </si>
  <si>
    <t>0734-743X</t>
  </si>
  <si>
    <t>1879-3509</t>
  </si>
  <si>
    <t>INTERNATIONAL JOURNAL OF IMAGING SYSTEMS AND TECHNOLOGY</t>
  </si>
  <si>
    <t>0899-9457</t>
  </si>
  <si>
    <t>1098-1098</t>
  </si>
  <si>
    <t>INTERNATIONAL JOURNAL OF HYDROGEN ENERGY</t>
  </si>
  <si>
    <t>0360-3199</t>
  </si>
  <si>
    <t>1879-3487</t>
  </si>
  <si>
    <t>INTERNATIONAL JOURNAL OF HUMANOID ROBOTICS</t>
  </si>
  <si>
    <t>0219-8436</t>
  </si>
  <si>
    <t>1793-6942</t>
  </si>
  <si>
    <t>INTERNATIONAL JOURNAL OF HEAVY VEHICLE SYSTEMS</t>
  </si>
  <si>
    <t>1744-232X</t>
  </si>
  <si>
    <t>1741-5152</t>
  </si>
  <si>
    <t>INTERNATIONAL JOURNAL OF HEAT AND MASS TRANSFER</t>
  </si>
  <si>
    <t>0017-9310</t>
  </si>
  <si>
    <t>1879-2189</t>
  </si>
  <si>
    <t>INTERNATIONAL JOURNAL OF HEAT AND FLUID FLOW</t>
  </si>
  <si>
    <t>0142-727X</t>
  </si>
  <si>
    <t>1879-2278</t>
  </si>
  <si>
    <t>INTERNATIONAL JOURNAL OF GREENHOUSE GAS CONTROL</t>
  </si>
  <si>
    <t>1750-5836</t>
  </si>
  <si>
    <t>1878-0148</t>
  </si>
  <si>
    <t>INTERNATIONAL JOURNAL OF GREEN ENERGY</t>
  </si>
  <si>
    <t>1543-5075</t>
  </si>
  <si>
    <t>1543-5083</t>
  </si>
  <si>
    <t>INTERNATIONAL JOURNAL OF GEOMECHANICS</t>
  </si>
  <si>
    <t>1532-3641</t>
  </si>
  <si>
    <t>1943-5622</t>
  </si>
  <si>
    <t>INTERNATIONAL JOURNAL OF FUZZY SYSTEMS</t>
  </si>
  <si>
    <t>1562-2479</t>
  </si>
  <si>
    <t>2199-3211</t>
  </si>
  <si>
    <t>INTERNATIONAL JOURNAL OF FRACTURE</t>
  </si>
  <si>
    <t>0376-9429</t>
  </si>
  <si>
    <t>1573-2673</t>
  </si>
  <si>
    <t>INTERNATIONAL JOURNAL OF EXTREME MANUFACTURING</t>
  </si>
  <si>
    <t>2631-8644</t>
  </si>
  <si>
    <t>2631-7990</t>
  </si>
  <si>
    <t>INTERNATIONAL JOURNAL OF EXERGY</t>
  </si>
  <si>
    <t>1742-8297</t>
  </si>
  <si>
    <t>1742-8300</t>
  </si>
  <si>
    <t>INTERNATIONAL JOURNAL OF ENGINEERING SCIENCE</t>
  </si>
  <si>
    <t>0020-7225</t>
  </si>
  <si>
    <t>1879-2197</t>
  </si>
  <si>
    <t>INTERNATIONAL JOURNAL OF ENGINEERING EDUCATION</t>
  </si>
  <si>
    <t>0949-149X</t>
  </si>
  <si>
    <t>IRELAND</t>
  </si>
  <si>
    <t>TEMPUS PUBLICATIONS</t>
  </si>
  <si>
    <t>INTERNATIONAL JOURNAL OF ENGINE RESEARCH</t>
  </si>
  <si>
    <t>1468-0874</t>
  </si>
  <si>
    <t>2041-3149</t>
  </si>
  <si>
    <t>INTERNATIONAL JOURNAL OF ENERGY RESEARCH</t>
  </si>
  <si>
    <t>0363-907X</t>
  </si>
  <si>
    <t>1099-114X</t>
  </si>
  <si>
    <t>INTERNATIONAL JOURNAL OF ELECTRONICS</t>
  </si>
  <si>
    <t>0020-7217</t>
  </si>
  <si>
    <t>1362-3060</t>
  </si>
  <si>
    <t>INTERNATIONAL JOURNAL OF ELECTRICAL POWER &amp; ENERGY SYSTEMS</t>
  </si>
  <si>
    <t>0142-0615</t>
  </si>
  <si>
    <t>1879-3517</t>
  </si>
  <si>
    <t>INTERNATIONAL JOURNAL OF DAMAGE MECHANICS</t>
  </si>
  <si>
    <t>1056-7895</t>
  </si>
  <si>
    <t>1530-7921</t>
  </si>
  <si>
    <t>INTERNATIONAL JOURNAL OF CRITICAL INFRASTRUCTURE PROTECTION</t>
  </si>
  <si>
    <t>1874-5482</t>
  </si>
  <si>
    <t>2212-2087</t>
  </si>
  <si>
    <t>INTERNATIONAL JOURNAL OF CRASHWORTHINESS</t>
  </si>
  <si>
    <t>1358-8265</t>
  </si>
  <si>
    <t>1754-2111</t>
  </si>
  <si>
    <t>INTERNATIONAL JOURNAL OF CONTROL AUTOMATION AND SYSTEMS</t>
  </si>
  <si>
    <t>1598-6446</t>
  </si>
  <si>
    <t>2005-4092</t>
  </si>
  <si>
    <t>INST CONTROL ROBOTICS &amp; SYSTEMS, KOREAN INST ELECTRICAL ENGINEERS</t>
  </si>
  <si>
    <t>INTERNATIONAL JOURNAL OF CONTROL</t>
  </si>
  <si>
    <t>0020-7179</t>
  </si>
  <si>
    <t>1366-5820</t>
  </si>
  <si>
    <t>INTERNATIONAL JOURNAL OF CONCRETE STRUCTURES AND MATERIALS</t>
  </si>
  <si>
    <t>1976-0485</t>
  </si>
  <si>
    <t>2234-1315</t>
  </si>
  <si>
    <t>INTERNATIONAL JOURNAL OF COMPUTER VISION</t>
  </si>
  <si>
    <t>0920-5691</t>
  </si>
  <si>
    <t>1573-1405</t>
  </si>
  <si>
    <t>INTERNATIONAL JOURNAL OF COMPUTER MATHEMATICS</t>
  </si>
  <si>
    <t>0020-7160</t>
  </si>
  <si>
    <t>1029-0265</t>
  </si>
  <si>
    <t>INTERNATIONAL JOURNAL OF COMPUTER INTEGRATED MANUFACTURING</t>
  </si>
  <si>
    <t>0951-192X</t>
  </si>
  <si>
    <t>1362-3052</t>
  </si>
  <si>
    <t>INTERNATIONAL JOURNAL OF COMPUTATIONAL METHODS</t>
  </si>
  <si>
    <t>0219-8762</t>
  </si>
  <si>
    <t>1793-6969</t>
  </si>
  <si>
    <t>INTERNATIONAL JOURNAL OF COMPUTATIONAL FLUID DYNAMICS</t>
  </si>
  <si>
    <t>1061-8562</t>
  </si>
  <si>
    <t>1029-0257</t>
  </si>
  <si>
    <t>INTERNATIONAL JOURNAL OF COMMUNICATION SYSTEMS</t>
  </si>
  <si>
    <t>1074-5351</t>
  </si>
  <si>
    <t>1099-1131</t>
  </si>
  <si>
    <t>INTERNATIONAL JOURNAL OF COAL PREPARATION AND UTILIZATION</t>
  </si>
  <si>
    <t>1939-2699</t>
  </si>
  <si>
    <t>1939-2702</t>
  </si>
  <si>
    <t>INTERNATIONAL JOURNAL OF CIVIL ENGINEERING</t>
  </si>
  <si>
    <t>1735-0522</t>
  </si>
  <si>
    <t>2383-3874</t>
  </si>
  <si>
    <t>INTERNATIONAL JOURNAL OF CIRCUIT THEORY AND APPLICATIONS</t>
  </si>
  <si>
    <t>0098-9886</t>
  </si>
  <si>
    <t>1097-007X</t>
  </si>
  <si>
    <t>INTERNATIONAL JOURNAL OF CHEMICAL REACTOR ENGINEERING</t>
  </si>
  <si>
    <t>2194-5748</t>
  </si>
  <si>
    <t>1542-6580</t>
  </si>
  <si>
    <t>INTERNATIONAL JOURNAL OF AUTOMOTIVE TECHNOLOGY</t>
  </si>
  <si>
    <t>1229-9138</t>
  </si>
  <si>
    <t>1976-3832</t>
  </si>
  <si>
    <t>KOREAN SOC AUTOMOTIVE ENGINEERS-KSAE</t>
  </si>
  <si>
    <t>INTERNATIONAL JOURNAL OF ARCHITECTURAL HERITAGE</t>
  </si>
  <si>
    <t>1558-3058</t>
  </si>
  <si>
    <t>1558-3066</t>
  </si>
  <si>
    <t>INTERNATIONAL JOURNAL OF APPLIED MECHANICS</t>
  </si>
  <si>
    <t>1758-8251</t>
  </si>
  <si>
    <t>1758-826X</t>
  </si>
  <si>
    <t>INTERNATIONAL JOURNAL OF APPLIED ELECTROMAGNETICS AND MECHANICS</t>
  </si>
  <si>
    <t>1383-5416</t>
  </si>
  <si>
    <t>1875-8800</t>
  </si>
  <si>
    <t>IOS PRESS</t>
  </si>
  <si>
    <t>INTERNATIONAL JOURNAL OF ANTENNAS AND PROPAGATION</t>
  </si>
  <si>
    <t>1687-5869</t>
  </si>
  <si>
    <t>1687-5877</t>
  </si>
  <si>
    <t>INTERNATIONAL JOURNAL OF AEROSPACE ENGINEERING</t>
  </si>
  <si>
    <t>1687-5966</t>
  </si>
  <si>
    <t>1687-5974</t>
  </si>
  <si>
    <t>INTERNATIONAL JOURNAL OF AERONAUTICAL AND SPACE SCIENCES</t>
  </si>
  <si>
    <t>2093-274X</t>
  </si>
  <si>
    <t>2093-2480</t>
  </si>
  <si>
    <t>INTERNATIONAL JOURNAL OF AEROACOUSTICS</t>
  </si>
  <si>
    <t>1475-472X</t>
  </si>
  <si>
    <t>2048-4003</t>
  </si>
  <si>
    <t>INTERNATIONAL JOURNAL OF ADVANCED ROBOTIC SYSTEMS</t>
  </si>
  <si>
    <t>1729-8814</t>
  </si>
  <si>
    <t>INTERNATIONAL JOURNAL OF ADVANCED MANUFACTURING TECHNOLOGY</t>
  </si>
  <si>
    <t>0268-3768</t>
  </si>
  <si>
    <t>1433-3015</t>
  </si>
  <si>
    <t>INTERNATIONAL JOURNAL OF ADAPTIVE CONTROL AND SIGNAL PROCESSING</t>
  </si>
  <si>
    <t>0890-6327</t>
  </si>
  <si>
    <t>1099-1115</t>
  </si>
  <si>
    <t>INTERNATIONAL JOURNAL OF ACOUSTICS AND VIBRATION</t>
  </si>
  <si>
    <t>1027-5851</t>
  </si>
  <si>
    <t>INT INST ACOUSTICS &amp; VIBRATION</t>
  </si>
  <si>
    <t>INTERNATIONAL JOURNAL FOR NUMERICAL METHODS IN FLUIDS</t>
  </si>
  <si>
    <t>0271-2091</t>
  </si>
  <si>
    <t>1097-0363</t>
  </si>
  <si>
    <t>INTERNATIONAL JOURNAL FOR NUMERICAL METHODS IN ENGINEERING</t>
  </si>
  <si>
    <t>0029-5981</t>
  </si>
  <si>
    <t>1097-0207</t>
  </si>
  <si>
    <t>INTERNATIONAL JOURNAL FOR MULTISCALE COMPUTATIONAL ENGINEERING</t>
  </si>
  <si>
    <t>1543-1649</t>
  </si>
  <si>
    <t>1940-4352</t>
  </si>
  <si>
    <t>INTERNATIONAL COMMUNICATIONS IN HEAT AND MASS TRANSFER</t>
  </si>
  <si>
    <t>0735-1933</t>
  </si>
  <si>
    <t>1879-0178</t>
  </si>
  <si>
    <t>INTELLIGENT SERVICE ROBOTICS</t>
  </si>
  <si>
    <t>1861-2776</t>
  </si>
  <si>
    <t>1861-2784</t>
  </si>
  <si>
    <t>INTEGRATED FERROELECTRICS</t>
  </si>
  <si>
    <t>1058-4587</t>
  </si>
  <si>
    <t>1607-8489</t>
  </si>
  <si>
    <t>INSTRUMENTS AND EXPERIMENTAL TECHNIQUES</t>
  </si>
  <si>
    <t>0020-4412</t>
  </si>
  <si>
    <t>1608-3180</t>
  </si>
  <si>
    <t>MAIK NAUKA/INTERPERIODICA/SPRINGER</t>
  </si>
  <si>
    <t>INSTRUMENTATION SCIENCE &amp; TECHNOLOGY</t>
  </si>
  <si>
    <t>1073-9149</t>
  </si>
  <si>
    <t>1525-6030</t>
  </si>
  <si>
    <t>INSIGHT</t>
  </si>
  <si>
    <t>1354-2575</t>
  </si>
  <si>
    <t>1754-4904</t>
  </si>
  <si>
    <t>BRITISH INST NON-DESTRUCTIVE TESTING</t>
  </si>
  <si>
    <t>INGENIERIA E INVESTIGACION</t>
  </si>
  <si>
    <t>0120-5609</t>
  </si>
  <si>
    <t>2248-8723</t>
  </si>
  <si>
    <t>COLOMBIA</t>
  </si>
  <si>
    <t>UNIV NAC COLOMBIA, FAC INGENIERIA</t>
  </si>
  <si>
    <t>INGEGNERIA SISMICA</t>
  </si>
  <si>
    <t>0393-1420</t>
  </si>
  <si>
    <t>PATRON EDITORE S R L</t>
  </si>
  <si>
    <t>INFORMES DE LA CONSTRUCCION</t>
  </si>
  <si>
    <t>0020-0883</t>
  </si>
  <si>
    <t>1988-3234</t>
  </si>
  <si>
    <t>CONSEJO SUPERIOR INVESTIGACIONES CIENTIFICAS-CSIC</t>
  </si>
  <si>
    <t>INFORMACIJE MIDEM-JOURNAL OF MICROELECTRONICS ELECTRONIC COMPONENTS AND MATERIALS</t>
  </si>
  <si>
    <t>0352-9045</t>
  </si>
  <si>
    <t>2232-6979</t>
  </si>
  <si>
    <t>SOC MICROELECTRONICS, ELECTRON COMPONENTS MATERIALS-MIDEM</t>
  </si>
  <si>
    <t>INFOR</t>
  </si>
  <si>
    <t>0315-5986</t>
  </si>
  <si>
    <t>1916-0615</t>
  </si>
  <si>
    <t>INDUSTRIAL ROBOT-THE INTERNATIONAL JOURNAL OF ROBOTICS RESEARCH AND APPLICATION</t>
  </si>
  <si>
    <t>0143-991X</t>
  </si>
  <si>
    <t>1758-5791</t>
  </si>
  <si>
    <t>INDUSTRIAL MANAGEMENT &amp; DATA SYSTEMS</t>
  </si>
  <si>
    <t>0263-5577</t>
  </si>
  <si>
    <t>1758-5783</t>
  </si>
  <si>
    <t>INDUSTRIAL LUBRICATION AND TRIBOLOGY</t>
  </si>
  <si>
    <t>0036-8792</t>
  </si>
  <si>
    <t>1758-5775</t>
  </si>
  <si>
    <t>INDOOR AIR</t>
  </si>
  <si>
    <t>0905-6947</t>
  </si>
  <si>
    <t>1600-0668</t>
  </si>
  <si>
    <t>DENMARK</t>
  </si>
  <si>
    <t>INDIAN JOURNAL OF ENGINEERING AND MATERIALS SCIENCES</t>
  </si>
  <si>
    <t>0971-4588</t>
  </si>
  <si>
    <t>0975-1017</t>
  </si>
  <si>
    <t>IMAGE AND VISION COMPUTING</t>
  </si>
  <si>
    <t>0262-8856</t>
  </si>
  <si>
    <t>1872-8138</t>
  </si>
  <si>
    <t>IMA JOURNAL OF MATHEMATICAL CONTROL AND INFORMATION</t>
  </si>
  <si>
    <t>0265-0754</t>
  </si>
  <si>
    <t>1471-6887</t>
  </si>
  <si>
    <t>IISE TRANSACTIONS</t>
  </si>
  <si>
    <t>2472-5854</t>
  </si>
  <si>
    <t>2472-5862</t>
  </si>
  <si>
    <t>IETE TECHNICAL REVIEW</t>
  </si>
  <si>
    <t>0256-4602</t>
  </si>
  <si>
    <t>0974-5971</t>
  </si>
  <si>
    <t>IETE JOURNAL OF RESEARCH</t>
  </si>
  <si>
    <t>0377-2063</t>
  </si>
  <si>
    <t>0974-780X</t>
  </si>
  <si>
    <t>IET SIGNAL PROCESSING</t>
  </si>
  <si>
    <t>1751-9675</t>
  </si>
  <si>
    <t>1751-9683</t>
  </si>
  <si>
    <t>IET SCIENCE MEASUREMENT &amp; TECHNOLOGY</t>
  </si>
  <si>
    <t>1751-8822</t>
  </si>
  <si>
    <t>1751-8830</t>
  </si>
  <si>
    <t>IET RENEWABLE POWER GENERATION</t>
  </si>
  <si>
    <t>1752-1416</t>
  </si>
  <si>
    <t>1752-1424</t>
  </si>
  <si>
    <t>INST ENGINEERING TECHNOLOGY-IET</t>
  </si>
  <si>
    <t>IET POWER ELECTRONICS</t>
  </si>
  <si>
    <t>1755-4535</t>
  </si>
  <si>
    <t>1755-4543</t>
  </si>
  <si>
    <t>IET OPTOELECTRONICS</t>
  </si>
  <si>
    <t>1751-8768</t>
  </si>
  <si>
    <t>1751-8776</t>
  </si>
  <si>
    <t>IET MICROWAVES ANTENNAS &amp; PROPAGATION</t>
  </si>
  <si>
    <t>1751-8725</t>
  </si>
  <si>
    <t>1751-8733</t>
  </si>
  <si>
    <t>IET INTELLIGENT TRANSPORT SYSTEMS</t>
  </si>
  <si>
    <t>1751-956X</t>
  </si>
  <si>
    <t>1751-9578</t>
  </si>
  <si>
    <t>IET IMAGE PROCESSING</t>
  </si>
  <si>
    <t>1751-9659</t>
  </si>
  <si>
    <t>1751-9667</t>
  </si>
  <si>
    <t>IET GENERATION TRANSMISSION &amp; DISTRIBUTION</t>
  </si>
  <si>
    <t>1751-8687</t>
  </si>
  <si>
    <t>1751-8695</t>
  </si>
  <si>
    <t>IET ELECTRICAL SYSTEMS IN TRANSPORTATION</t>
  </si>
  <si>
    <t>2042-9738</t>
  </si>
  <si>
    <t>2042-9746</t>
  </si>
  <si>
    <t>IET ELECTRIC POWER APPLICATIONS</t>
  </si>
  <si>
    <t>1751-8660</t>
  </si>
  <si>
    <t>1751-8679</t>
  </si>
  <si>
    <t>IET CONTROL THEORY AND APPLICATIONS</t>
  </si>
  <si>
    <t>1751-8644</t>
  </si>
  <si>
    <t>1751-8652</t>
  </si>
  <si>
    <t>IET COMMUNICATIONS</t>
  </si>
  <si>
    <t>1751-8628</t>
  </si>
  <si>
    <t>1751-8636</t>
  </si>
  <si>
    <t>IET CIRCUITS DEVICES &amp; SYSTEMS</t>
  </si>
  <si>
    <t>1751-858X</t>
  </si>
  <si>
    <t>1751-8598</t>
  </si>
  <si>
    <t>IEICE TRANSACTIONS ON FUNDAMENTALS OF ELECTRONICS COMMUNICATIONS AND COMPUTER SCIENCES</t>
  </si>
  <si>
    <t>0916-8508</t>
  </si>
  <si>
    <t>1745-1337</t>
  </si>
  <si>
    <t>IEICE-INST ELECTRONICS INFORMATION COMMUNICATION ENGINEERS</t>
  </si>
  <si>
    <t>IEICE TRANSACTIONS ON ELECTRONICS</t>
  </si>
  <si>
    <t>0916-8524</t>
  </si>
  <si>
    <t>1745-1353</t>
  </si>
  <si>
    <t>IEICE ELECTRONICS EXPRESS</t>
  </si>
  <si>
    <t>1349-2543</t>
  </si>
  <si>
    <t>IEEJ TRANSACTIONS ON ELECTRICAL AND ELECTRONIC ENGINEERING</t>
  </si>
  <si>
    <t>1931-4973</t>
  </si>
  <si>
    <t>1931-4981</t>
  </si>
  <si>
    <t>IEEE-CAA JOURNAL OF AUTOMATICA SINICA</t>
  </si>
  <si>
    <t>2329-9266</t>
  </si>
  <si>
    <t>2329-9274</t>
  </si>
  <si>
    <t>IEEE-ASME TRANSACTIONS ON MECHATRONICS</t>
  </si>
  <si>
    <t>1083-4435</t>
  </si>
  <si>
    <t>1941-014X</t>
  </si>
  <si>
    <t>IEEE-ACM TRANSACTIONS ON AUDIO SPEECH AND LANGUAGE PROCESSING</t>
  </si>
  <si>
    <t>2329-9290</t>
  </si>
  <si>
    <t>2329-9304</t>
  </si>
  <si>
    <t>IEEE VEHICULAR TECHNOLOGY MAGAZINE</t>
  </si>
  <si>
    <t>1556-6072</t>
  </si>
  <si>
    <t>1556-6080</t>
  </si>
  <si>
    <t>IEEE TRANSACTIONS ON VERY LARGE SCALE INTEGRATION (VLSI) SYSTEMS</t>
  </si>
  <si>
    <t>1063-8210</t>
  </si>
  <si>
    <t>1557-9999</t>
  </si>
  <si>
    <t>IEEE TRANSACTIONS ON VEHICULAR TECHNOLOGY</t>
  </si>
  <si>
    <t>0018-9545</t>
  </si>
  <si>
    <t>1939-9359</t>
  </si>
  <si>
    <t>IEEE TRANSACTIONS ON ULTRASONICS FERROELECTRICS AND FREQUENCY CONTROL</t>
  </si>
  <si>
    <t>0885-3010</t>
  </si>
  <si>
    <t>1525-8955</t>
  </si>
  <si>
    <t>IEEE TRANSACTIONS ON TRANSPORTATION ELECTRIFICATION</t>
  </si>
  <si>
    <t>2332-7782</t>
  </si>
  <si>
    <t>IEEE TRANSACTIONS ON TERAHERTZ SCIENCE AND TECHNOLOGY</t>
  </si>
  <si>
    <t>2156-342X</t>
  </si>
  <si>
    <t>2156-3446</t>
  </si>
  <si>
    <t>IEEE TRANSACTIONS ON SYSTEMS MAN CYBERNETICS-SYSTEMS</t>
  </si>
  <si>
    <t>2168-2216</t>
  </si>
  <si>
    <t>2168-2232</t>
  </si>
  <si>
    <t>IEEE TRANSACTIONS ON SUSTAINABLE ENERGY</t>
  </si>
  <si>
    <t>1949-3029</t>
  </si>
  <si>
    <t>1949-3037</t>
  </si>
  <si>
    <t>IEEE TRANSACTIONS ON SMART GRID</t>
  </si>
  <si>
    <t>1949-3053</t>
  </si>
  <si>
    <t>1949-3061</t>
  </si>
  <si>
    <t>IEEE TRANSACTIONS ON SIGNAL PROCESSING</t>
  </si>
  <si>
    <t>1053-587X</t>
  </si>
  <si>
    <t>1941-0476</t>
  </si>
  <si>
    <t>IEEE TRANSACTIONS ON SIGNAL AND INFORMATION PROCESSING OVER NETWORKS</t>
  </si>
  <si>
    <t>2373-776X</t>
  </si>
  <si>
    <t>IEEE TRANSACTIONS ON SEMICONDUCTOR MANUFACTURING</t>
  </si>
  <si>
    <t>0894-6507</t>
  </si>
  <si>
    <t>1558-2345</t>
  </si>
  <si>
    <t>IEEE TRANSACTIONS ON ROBOTICS</t>
  </si>
  <si>
    <t>1552-3098</t>
  </si>
  <si>
    <t>1941-0468</t>
  </si>
  <si>
    <t>IEEE TRANSACTIONS ON RELIABILITY</t>
  </si>
  <si>
    <t>0018-9529</t>
  </si>
  <si>
    <t>1558-1721</t>
  </si>
  <si>
    <t>IEEE TRANSACTIONS ON PROFESSIONAL COMMUNICATION</t>
  </si>
  <si>
    <t>0361-1434</t>
  </si>
  <si>
    <t>1558-1500</t>
  </si>
  <si>
    <t>IEEE TRANSACTIONS ON POWER SYSTEMS</t>
  </si>
  <si>
    <t>0885-8950</t>
  </si>
  <si>
    <t>1558-0679</t>
  </si>
  <si>
    <t>IEEE TRANSACTIONS ON POWER ELECTRONICS</t>
  </si>
  <si>
    <t>0885-8993</t>
  </si>
  <si>
    <t>1941-0107</t>
  </si>
  <si>
    <t>IEEE TRANSACTIONS ON POWER DELIVERY</t>
  </si>
  <si>
    <t>0885-8977</t>
  </si>
  <si>
    <t>1937-4208</t>
  </si>
  <si>
    <t>IEEE TRANSACTIONS ON PATTERN ANALYSIS AND MACHINE INTELLIGENCE</t>
  </si>
  <si>
    <t>0162-8828</t>
  </si>
  <si>
    <t>1939-3539</t>
  </si>
  <si>
    <t>IEEE COMPUTER SOC</t>
  </si>
  <si>
    <t>IEEE TRANSACTIONS ON NEURAL SYSTEMS AND REHABILITATION ENGINEERING</t>
  </si>
  <si>
    <t>1534-4320</t>
  </si>
  <si>
    <t>1558-0210</t>
  </si>
  <si>
    <t>IEEE TRANSACTIONS ON NETWORK SCIENCE AND ENGINEERING</t>
  </si>
  <si>
    <t>2327-4697</t>
  </si>
  <si>
    <t>IEEE TRANSACTIONS ON NANOTECHNOLOGY</t>
  </si>
  <si>
    <t>1536-125X</t>
  </si>
  <si>
    <t>1941-0085</t>
  </si>
  <si>
    <t>IEEE TRANSACTIONS ON MICROWAVE THEORY AND TECHNIQUES</t>
  </si>
  <si>
    <t>0018-9480</t>
  </si>
  <si>
    <t>1557-9670</t>
  </si>
  <si>
    <t>IEEE TRANSACTIONS ON KNOWLEDGE AND DATA ENGINEERING</t>
  </si>
  <si>
    <t>1041-4347</t>
  </si>
  <si>
    <t>1558-2191</t>
  </si>
  <si>
    <t>IEEE TRANSACTIONS ON INTELLIGENT VEHICLES</t>
  </si>
  <si>
    <t>2379-8858</t>
  </si>
  <si>
    <t>2379-8904</t>
  </si>
  <si>
    <t>IEEE TRANSACTIONS ON INTELLIGENT TRANSPORTATION SYSTEMS</t>
  </si>
  <si>
    <t>1524-9050</t>
  </si>
  <si>
    <t>1558-0016</t>
  </si>
  <si>
    <t>IEEE TRANSACTIONS ON INSTRUMENTATION AND MEASUREMENT</t>
  </si>
  <si>
    <t>0018-9456</t>
  </si>
  <si>
    <t>1557-9662</t>
  </si>
  <si>
    <t>IEEE TRANSACTIONS ON INDUSTRY APPLICATIONS</t>
  </si>
  <si>
    <t>0093-9994</t>
  </si>
  <si>
    <t>1939-9367</t>
  </si>
  <si>
    <t>IEEE TRANSACTIONS ON INDUSTRIAL INFORMATICS</t>
  </si>
  <si>
    <t>1551-3203</t>
  </si>
  <si>
    <t>1941-0050</t>
  </si>
  <si>
    <t>IEEE TRANSACTIONS ON INDUSTRIAL ELECTRONICS</t>
  </si>
  <si>
    <t>0278-0046</t>
  </si>
  <si>
    <t>1557-9948</t>
  </si>
  <si>
    <t>IEEE TRANSACTIONS ON IMAGE PROCESSING</t>
  </si>
  <si>
    <t>1057-7149</t>
  </si>
  <si>
    <t>1941-0042</t>
  </si>
  <si>
    <t>IEEE TRANSACTIONS ON HUMAN-MACHINE SYSTEMS</t>
  </si>
  <si>
    <t>2168-2291</t>
  </si>
  <si>
    <t>2168-2305</t>
  </si>
  <si>
    <t>IEEE TRANSACTIONS ON FUZZY SYSTEMS</t>
  </si>
  <si>
    <t>1063-6706</t>
  </si>
  <si>
    <t>1941-0034</t>
  </si>
  <si>
    <t>IEEE TRANSACTIONS ON ENERGY CONVERSION</t>
  </si>
  <si>
    <t>0885-8969</t>
  </si>
  <si>
    <t>1558-0059</t>
  </si>
  <si>
    <t>IEEE TRANSACTIONS ON ELECTRON DEVICES</t>
  </si>
  <si>
    <t>0018-9383</t>
  </si>
  <si>
    <t>1557-9646</t>
  </si>
  <si>
    <t>IEEE TRANSACTIONS ON ELECTROMAGNETIC COMPATIBILITY</t>
  </si>
  <si>
    <t>0018-9375</t>
  </si>
  <si>
    <t>1558-187X</t>
  </si>
  <si>
    <t>IEEE TRANSACTIONS ON EDUCATION</t>
  </si>
  <si>
    <t>0018-9359</t>
  </si>
  <si>
    <t>1557-9638</t>
  </si>
  <si>
    <t>IEEE TRANSACTIONS ON DIELECTRICS AND ELECTRICAL INSULATION</t>
  </si>
  <si>
    <t>1070-9878</t>
  </si>
  <si>
    <t>1558-4135</t>
  </si>
  <si>
    <t>IEEE TRANSACTIONS ON DEVICE AND MATERIALS RELIABILITY</t>
  </si>
  <si>
    <t>1530-4388</t>
  </si>
  <si>
    <t>1558-2574</t>
  </si>
  <si>
    <t>IEEE TRANSACTIONS ON CONTROL SYSTEMS TECHNOLOGY</t>
  </si>
  <si>
    <t>1063-6536</t>
  </si>
  <si>
    <t>1558-0865</t>
  </si>
  <si>
    <t>IEEE TRANSACTIONS ON CONTROL OF NETWORK SYSTEMS</t>
  </si>
  <si>
    <t>2325-5870</t>
  </si>
  <si>
    <t>2372-2533</t>
  </si>
  <si>
    <t>IEEE TRANSACTIONS ON CONSUMER ELECTRONICS</t>
  </si>
  <si>
    <t>0098-3063</t>
  </si>
  <si>
    <t>1558-4127</t>
  </si>
  <si>
    <t>IEEE TRANSACTIONS ON COMPUTER-AIDED DESIGN OF INTEGRATED CIRCUITS AND SYSTEMS</t>
  </si>
  <si>
    <t>0278-0070</t>
  </si>
  <si>
    <t>1937-4151</t>
  </si>
  <si>
    <t>IEEE TRANSACTIONS ON COMPUTATIONAL IMAGING</t>
  </si>
  <si>
    <t>2573-0436</t>
  </si>
  <si>
    <t>2333-9403</t>
  </si>
  <si>
    <t>IEEE TRANSACTIONS ON COMPONENTS PACKAGING AND MANUFACTURING TECHNOLOGY</t>
  </si>
  <si>
    <t>2156-3950</t>
  </si>
  <si>
    <t>2156-3985</t>
  </si>
  <si>
    <t>IEEE TRANSACTIONS ON CIRCUITS AND SYSTEMS II-EXPRESS BRIEFS</t>
  </si>
  <si>
    <t>1549-7747</t>
  </si>
  <si>
    <t>1558-3791</t>
  </si>
  <si>
    <t>IEEE TRANSACTIONS ON CIRCUITS AND SYSTEMS I-REGULAR PAPERS</t>
  </si>
  <si>
    <t>1549-8328</t>
  </si>
  <si>
    <t>1558-0806</t>
  </si>
  <si>
    <t>IEEE TRANSACTIONS ON CIRCUITS AND SYSTEMS FOR VIDEO TECHNOLOGY</t>
  </si>
  <si>
    <t>1051-8215</t>
  </si>
  <si>
    <t>1558-2205</t>
  </si>
  <si>
    <t>IEEE TRANSACTIONS ON BIOMEDICAL ENGINEERING</t>
  </si>
  <si>
    <t>0018-9294</t>
  </si>
  <si>
    <t>1558-2531</t>
  </si>
  <si>
    <t>IEEE TRANSACTIONS ON BIOMEDICAL CIRCUITS AND SYSTEMS</t>
  </si>
  <si>
    <t>1932-4545</t>
  </si>
  <si>
    <t>1940-9990</t>
  </si>
  <si>
    <t>IEEE TRANSACTIONS ON AUTOMATION SCIENCE AND ENGINEERING</t>
  </si>
  <si>
    <t>1545-5955</t>
  </si>
  <si>
    <t>1558-3783</t>
  </si>
  <si>
    <t>IEEE TRANSACTIONS ON AUTOMATIC CONTROL</t>
  </si>
  <si>
    <t>0018-9286</t>
  </si>
  <si>
    <t>1558-2523</t>
  </si>
  <si>
    <t>IEEE TRANSACTIONS ON ANTENNAS AND PROPAGATION</t>
  </si>
  <si>
    <t>0018-926X</t>
  </si>
  <si>
    <t>1558-2221</t>
  </si>
  <si>
    <t>IEEE TRANSACTIONS ON AEROSPACE AND ELECTRONIC SYSTEMS</t>
  </si>
  <si>
    <t>0018-9251</t>
  </si>
  <si>
    <t>1557-9603</t>
  </si>
  <si>
    <t>IEEE TECHNOLOGY AND SOCIETY MAGAZINE</t>
  </si>
  <si>
    <t>0278-0097</t>
  </si>
  <si>
    <t>1937-416X</t>
  </si>
  <si>
    <t>IEEE SPECTRUM</t>
  </si>
  <si>
    <t>0018-9235</t>
  </si>
  <si>
    <t>1939-9340</t>
  </si>
  <si>
    <t>IEEE SIGNAL PROCESSING MAGAZINE</t>
  </si>
  <si>
    <t>1053-5888</t>
  </si>
  <si>
    <t>1558-0792</t>
  </si>
  <si>
    <t>IEEE SIGNAL PROCESSING LETTERS</t>
  </si>
  <si>
    <t>1070-9908</t>
  </si>
  <si>
    <t>1558-2361</t>
  </si>
  <si>
    <t>IEEE SENSORS JOURNAL</t>
  </si>
  <si>
    <t>1530-437X</t>
  </si>
  <si>
    <t>1558-1748</t>
  </si>
  <si>
    <t>IEEE ROBOTICS AND AUTOMATION LETTERS</t>
  </si>
  <si>
    <t>2377-3766</t>
  </si>
  <si>
    <t>IEEE ROBOTICS &amp; AUTOMATION MAGAZINE</t>
  </si>
  <si>
    <t>1070-9932</t>
  </si>
  <si>
    <t>1558-223X</t>
  </si>
  <si>
    <t>IEEE REVIEWS IN BIOMEDICAL ENGINEERING</t>
  </si>
  <si>
    <t>1937-3333</t>
  </si>
  <si>
    <t>1941-1189</t>
  </si>
  <si>
    <t>IEEE POWER &amp; ENERGY MAGAZINE</t>
  </si>
  <si>
    <t>1540-7977</t>
  </si>
  <si>
    <t>1558-4216</t>
  </si>
  <si>
    <t>IEEE MICROWAVE MAGAZINE</t>
  </si>
  <si>
    <t>1527-3342</t>
  </si>
  <si>
    <t>1557-9581</t>
  </si>
  <si>
    <t>IEEE MICROWAVE AND WIRELESS TECHNOLOGY LETTERS</t>
  </si>
  <si>
    <t>2771-957X</t>
  </si>
  <si>
    <t>IEEE LATIN AMERICA TRANSACTIONS</t>
  </si>
  <si>
    <t>1548-0992</t>
  </si>
  <si>
    <t>IEEE JOURNAL ON EMERGING AND SELECTED TOPICS IN CIRCUITS AND SYSTEMS</t>
  </si>
  <si>
    <t>2156-3357</t>
  </si>
  <si>
    <t>2156-3365</t>
  </si>
  <si>
    <t>IEEE JOURNAL OF TRANSLATIONAL ENGINEERING IN HEALTH AND MEDICINE</t>
  </si>
  <si>
    <t>2168-2372</t>
  </si>
  <si>
    <t>IEEE JOURNAL OF THE ELECTRON DEVICES SOCIETY</t>
  </si>
  <si>
    <t>2168-6734</t>
  </si>
  <si>
    <t>IEEE JOURNAL OF SOLID-STATE CIRCUITS</t>
  </si>
  <si>
    <t>0018-9200</t>
  </si>
  <si>
    <t>1558-173X</t>
  </si>
  <si>
    <t>IEEE JOURNAL OF SELECTED TOPICS IN SIGNAL PROCESSING</t>
  </si>
  <si>
    <t>1932-4553</t>
  </si>
  <si>
    <t>1941-0484</t>
  </si>
  <si>
    <t>IEEE JOURNAL OF SELECTED TOPICS IN QUANTUM ELECTRONICS</t>
  </si>
  <si>
    <t>1077-260X</t>
  </si>
  <si>
    <t>1558-4542</t>
  </si>
  <si>
    <t>IEEE JOURNAL OF PHOTOVOLTAICS</t>
  </si>
  <si>
    <t>2156-3381</t>
  </si>
  <si>
    <t>2156-3403</t>
  </si>
  <si>
    <t>IEEE JOURNAL OF OCEANIC ENGINEERING</t>
  </si>
  <si>
    <t>0364-9059</t>
  </si>
  <si>
    <t>1558-1691</t>
  </si>
  <si>
    <t>IEEE JOURNAL OF EMERGING AND SELECTED TOPICS IN POWER ELECTRONICS</t>
  </si>
  <si>
    <t>2168-6777</t>
  </si>
  <si>
    <t>2168-6785</t>
  </si>
  <si>
    <t>IEEE INTELLIGENT TRANSPORTATION SYSTEMS MAGAZINE</t>
  </si>
  <si>
    <t>1939-1390</t>
  </si>
  <si>
    <t>1941-1197</t>
  </si>
  <si>
    <t>IEEE INTELLIGENT SYSTEMS</t>
  </si>
  <si>
    <t>1541-1672</t>
  </si>
  <si>
    <t>1941-1294</t>
  </si>
  <si>
    <t>IEEE INSTRUMENTATION &amp; MEASUREMENT MAGAZINE</t>
  </si>
  <si>
    <t>1094-6969</t>
  </si>
  <si>
    <t>1941-0123</t>
  </si>
  <si>
    <t>IEEE INDUSTRY APPLICATIONS MAGAZINE</t>
  </si>
  <si>
    <t>1077-2618</t>
  </si>
  <si>
    <t>1558-0598</t>
  </si>
  <si>
    <t>IEEE INDUSTRIAL ELECTRONICS MAGAZINE</t>
  </si>
  <si>
    <t>1932-4529</t>
  </si>
  <si>
    <t>1941-0115</t>
  </si>
  <si>
    <t>IEEE ELECTRON DEVICE LETTERS</t>
  </si>
  <si>
    <t>0741-3106</t>
  </si>
  <si>
    <t>1558-0563</t>
  </si>
  <si>
    <t>IEEE ELECTRICAL INSULATION MAGAZINE</t>
  </si>
  <si>
    <t>0883-7554</t>
  </si>
  <si>
    <t>1558-4402</t>
  </si>
  <si>
    <t>IEEE CONTROL SYSTEMS MAGAZINE</t>
  </si>
  <si>
    <t>1066-033X</t>
  </si>
  <si>
    <t>1941-000X</t>
  </si>
  <si>
    <t>IEEE CONSUMER ELECTRONICS MAGAZINE</t>
  </si>
  <si>
    <t>2162-2248</t>
  </si>
  <si>
    <t>2162-2256</t>
  </si>
  <si>
    <t>IEEE CIRCUITS AND SYSTEMS MAGAZINE</t>
  </si>
  <si>
    <t>1531-636X</t>
  </si>
  <si>
    <t>1558-0830</t>
  </si>
  <si>
    <t>IEEE CANADIAN JOURNAL OF ELECTRICAL AND COMPUTER ENGINEERING</t>
  </si>
  <si>
    <t>2694-1783</t>
  </si>
  <si>
    <t>IEEE CANADA</t>
  </si>
  <si>
    <t>IEEE ANTENNAS AND WIRELESS PROPAGATION LETTERS</t>
  </si>
  <si>
    <t>1536-1225</t>
  </si>
  <si>
    <t>1548-5757</t>
  </si>
  <si>
    <t>IEEE ANTENNAS AND PROPAGATION MAGAZINE</t>
  </si>
  <si>
    <t>1045-9243</t>
  </si>
  <si>
    <t>1558-4143</t>
  </si>
  <si>
    <t>IEEE AEROSPACE AND ELECTRONIC SYSTEMS MAGAZINE</t>
  </si>
  <si>
    <t>0885-8985</t>
  </si>
  <si>
    <t>1557-959X</t>
  </si>
  <si>
    <t>IEEE ACCESS</t>
  </si>
  <si>
    <t>2169-3536</t>
  </si>
  <si>
    <t>HUMAN FACTORS AND ERGONOMICS IN MANUFACTURING &amp; SERVICE INDUSTRIES</t>
  </si>
  <si>
    <t>1090-8471</t>
  </si>
  <si>
    <t>1520-6564</t>
  </si>
  <si>
    <t>HIGH VOLTAGE</t>
  </si>
  <si>
    <t>2397-7264</t>
  </si>
  <si>
    <t>HEAT TRANSFER RESEARCH</t>
  </si>
  <si>
    <t>1064-2285</t>
  </si>
  <si>
    <t>2162-6561</t>
  </si>
  <si>
    <t>HEAT TRANSFER ENGINEERING</t>
  </si>
  <si>
    <t>0145-7632</t>
  </si>
  <si>
    <t>1521-0537</t>
  </si>
  <si>
    <t>HEAT AND MASS TRANSFER</t>
  </si>
  <si>
    <t>0947-7411</t>
  </si>
  <si>
    <t>1432-1181</t>
  </si>
  <si>
    <t>GREEN ENERGY &amp; ENVIRONMENT</t>
  </si>
  <si>
    <t>2096-2797</t>
  </si>
  <si>
    <t>2468-0257</t>
  </si>
  <si>
    <t>GRADEVINAR</t>
  </si>
  <si>
    <t>0350-2465</t>
  </si>
  <si>
    <t>1333-9095</t>
  </si>
  <si>
    <t>CROATIAN SOC CIVIL ENGINEERS-HSGI</t>
  </si>
  <si>
    <t>GEOTECHNIQUE LETTERS</t>
  </si>
  <si>
    <t>2049-825X</t>
  </si>
  <si>
    <t>2045-2543</t>
  </si>
  <si>
    <t>GEOTECHNIQUE</t>
  </si>
  <si>
    <t>0016-8505</t>
  </si>
  <si>
    <t>1751-7656</t>
  </si>
  <si>
    <t>GEOTECHNICAL TESTING JOURNAL</t>
  </si>
  <si>
    <t>0149-6115</t>
  </si>
  <si>
    <t>1945-7545</t>
  </si>
  <si>
    <t>AMER SOC TESTING MATERIALS</t>
  </si>
  <si>
    <t>GEOSYNTHETICS INTERNATIONAL</t>
  </si>
  <si>
    <t>1072-6349</t>
  </si>
  <si>
    <t>1751-7613</t>
  </si>
  <si>
    <t>GEORISK-ASSESSMENT AND MANAGEMENT OF RISK FOR ENGINEERED SYSTEMS AND GEOHAZARDS</t>
  </si>
  <si>
    <t>1749-9518</t>
  </si>
  <si>
    <t>1749-9526</t>
  </si>
  <si>
    <t>GEOMECHANICS AND ENGINEERING</t>
  </si>
  <si>
    <t>2005-307X</t>
  </si>
  <si>
    <t>2092-6219</t>
  </si>
  <si>
    <t>GEFAHRSTOFFE REINHALTUNG DER LUFT</t>
  </si>
  <si>
    <t>0949-8036</t>
  </si>
  <si>
    <t>1436-4891</t>
  </si>
  <si>
    <t>SPRINGER-V D I VERLAG GMBH &amp; CO KG</t>
  </si>
  <si>
    <t>GAS SCIENCE AND ENGINEERING</t>
  </si>
  <si>
    <t>2949-9097</t>
  </si>
  <si>
    <t>FUZZY SETS AND SYSTEMS</t>
  </si>
  <si>
    <t>0165-0114</t>
  </si>
  <si>
    <t>1872-6801</t>
  </si>
  <si>
    <t>FUZZY OPTIMIZATION AND DECISION MAKING</t>
  </si>
  <si>
    <t>1568-4539</t>
  </si>
  <si>
    <t>1573-2908</t>
  </si>
  <si>
    <t>FUSION SCIENCE AND TECHNOLOGY</t>
  </si>
  <si>
    <t>1536-1055</t>
  </si>
  <si>
    <t>1943-7641</t>
  </si>
  <si>
    <t>FUSION ENGINEERING AND DESIGN</t>
  </si>
  <si>
    <t>0920-3796</t>
  </si>
  <si>
    <t>1873-7196</t>
  </si>
  <si>
    <t>FUEL</t>
  </si>
  <si>
    <t>0016-2361</t>
  </si>
  <si>
    <t>1873-7153</t>
  </si>
  <si>
    <t>FRONTIERS OF STRUCTURAL AND CIVIL ENGINEERING</t>
  </si>
  <si>
    <t>2095-2430</t>
  </si>
  <si>
    <t>2095-2449</t>
  </si>
  <si>
    <t>HIGHER EDUCATION PRESS</t>
  </si>
  <si>
    <t>FRONTIERS OF MECHANICAL ENGINEERING</t>
  </si>
  <si>
    <t>2095-0233</t>
  </si>
  <si>
    <t>2095-0241</t>
  </si>
  <si>
    <t>FRONTIERS IN ENERGY RESEARCH</t>
  </si>
  <si>
    <t>2296-598X</t>
  </si>
  <si>
    <t>FRONTIERS MEDIA SA</t>
  </si>
  <si>
    <t>FRONTIERS IN ENERGY</t>
  </si>
  <si>
    <t>2095-1701</t>
  </si>
  <si>
    <t>2095-1698</t>
  </si>
  <si>
    <t>FRICTION</t>
  </si>
  <si>
    <t>2223-7690</t>
  </si>
  <si>
    <t>2223-7704</t>
  </si>
  <si>
    <t>TSINGHUA UNIV PRESS</t>
  </si>
  <si>
    <t>FREQUENZ</t>
  </si>
  <si>
    <t>0016-1136</t>
  </si>
  <si>
    <t>2191-6349</t>
  </si>
  <si>
    <t>FORSCHUNG IM INGENIEURWESEN-ENGINEERING RESEARCH</t>
  </si>
  <si>
    <t>0015-7899</t>
  </si>
  <si>
    <t>1434-0860</t>
  </si>
  <si>
    <t>FLUID DYNAMICS RESEARCH</t>
  </si>
  <si>
    <t>0169-5983</t>
  </si>
  <si>
    <t>1873-7005</t>
  </si>
  <si>
    <t>FLUID DYNAMICS</t>
  </si>
  <si>
    <t>0015-4628</t>
  </si>
  <si>
    <t>1573-8507</t>
  </si>
  <si>
    <t>FLOW TURBULENCE AND COMBUSTION</t>
  </si>
  <si>
    <t>1386-6184</t>
  </si>
  <si>
    <t>1573-1987</t>
  </si>
  <si>
    <t>FLOW MEASUREMENT AND INSTRUMENTATION</t>
  </si>
  <si>
    <t>0955-5986</t>
  </si>
  <si>
    <t>1873-6998</t>
  </si>
  <si>
    <t>FLEXIBLE SERVICES AND MANUFACTURING JOURNAL</t>
  </si>
  <si>
    <t>1936-6582</t>
  </si>
  <si>
    <t>1936-6590</t>
  </si>
  <si>
    <t>FIRE SAFETY JOURNAL</t>
  </si>
  <si>
    <t>0379-7112</t>
  </si>
  <si>
    <t>1873-7226</t>
  </si>
  <si>
    <t>FINITE ELEMENTS IN ANALYSIS AND DESIGN</t>
  </si>
  <si>
    <t>0168-874X</t>
  </si>
  <si>
    <t>1872-6925</t>
  </si>
  <si>
    <t>FACTA UNIVERSITATIS-SERIES MECHANICAL ENGINEERING</t>
  </si>
  <si>
    <t>0354-2025</t>
  </si>
  <si>
    <t>2335-0164</t>
  </si>
  <si>
    <t>UNIV NIS</t>
  </si>
  <si>
    <t>EXTREME MECHANICS LETTERS</t>
  </si>
  <si>
    <t>2352-4316</t>
  </si>
  <si>
    <t>EXPERT SYSTEMS WITH APPLICATIONS</t>
  </si>
  <si>
    <t>0957-4174</t>
  </si>
  <si>
    <t>1873-6793</t>
  </si>
  <si>
    <t>EXPERIMENTS IN FLUIDS</t>
  </si>
  <si>
    <t>0723-4864</t>
  </si>
  <si>
    <t>1432-1114</t>
  </si>
  <si>
    <t>EXPERIMENTAL THERMAL AND FLUID SCIENCE</t>
  </si>
  <si>
    <t>0894-1777</t>
  </si>
  <si>
    <t>1879-2286</t>
  </si>
  <si>
    <t>EXPERIMENTAL TECHNIQUES</t>
  </si>
  <si>
    <t>0732-8818</t>
  </si>
  <si>
    <t>1747-1567</t>
  </si>
  <si>
    <t>EXPERIMENTAL MECHANICS</t>
  </si>
  <si>
    <t>0014-4851</t>
  </si>
  <si>
    <t>1741-2765</t>
  </si>
  <si>
    <t>EXPERIMENTAL HEAT TRANSFER</t>
  </si>
  <si>
    <t>0891-6152</t>
  </si>
  <si>
    <t>1521-0480</t>
  </si>
  <si>
    <t>EUROPEAN TRANSPORT RESEARCH REVIEW</t>
  </si>
  <si>
    <t>1867-0717</t>
  </si>
  <si>
    <t>1866-8887</t>
  </si>
  <si>
    <t>EUROPEAN JOURNAL OF OPERATIONAL RESEARCH</t>
  </si>
  <si>
    <t>0377-2217</t>
  </si>
  <si>
    <t>1872-6860</t>
  </si>
  <si>
    <t>EUROPEAN JOURNAL OF MECHANICS B-FLUIDS</t>
  </si>
  <si>
    <t>0997-7546</t>
  </si>
  <si>
    <t>1873-7390</t>
  </si>
  <si>
    <t>EUROPEAN JOURNAL OF MECHANICS A-SOLIDS</t>
  </si>
  <si>
    <t>0997-7538</t>
  </si>
  <si>
    <t>1873-7285</t>
  </si>
  <si>
    <t>EUROPEAN JOURNAL OF INDUSTRIAL ENGINEERING</t>
  </si>
  <si>
    <t>1751-5254</t>
  </si>
  <si>
    <t>1751-5262</t>
  </si>
  <si>
    <t>EUROPEAN JOURNAL OF ENVIRONMENTAL AND CIVIL ENGINEERING</t>
  </si>
  <si>
    <t>1964-8189</t>
  </si>
  <si>
    <t>2116-7214</t>
  </si>
  <si>
    <t>EUROPEAN JOURNAL OF CONTROL</t>
  </si>
  <si>
    <t>0947-3580</t>
  </si>
  <si>
    <t>1435-5671</t>
  </si>
  <si>
    <t>EURASIP JOURNAL ON IMAGE AND VIDEO PROCESSING</t>
  </si>
  <si>
    <t>1687-5176</t>
  </si>
  <si>
    <t>1687-5281</t>
  </si>
  <si>
    <t>EURASIP JOURNAL ON AUDIO SPEECH AND MUSIC PROCESSING</t>
  </si>
  <si>
    <t>1687-4722</t>
  </si>
  <si>
    <t>EURASIP JOURNAL ON ADVANCES IN SIGNAL PROCESSING</t>
  </si>
  <si>
    <t>1687-6180</t>
  </si>
  <si>
    <t>ETRANSPORTATION</t>
  </si>
  <si>
    <t>2590-1168</t>
  </si>
  <si>
    <t>ERGONOMICS</t>
  </si>
  <si>
    <t>0014-0139</t>
  </si>
  <si>
    <t>1366-5847</t>
  </si>
  <si>
    <t>EPE JOURNAL</t>
  </si>
  <si>
    <t>0939-8368</t>
  </si>
  <si>
    <t>2376-9319</t>
  </si>
  <si>
    <t>BELGIUM</t>
  </si>
  <si>
    <t>EPE ASSOC</t>
  </si>
  <si>
    <t>ENVIRONMENTAL TECHNOLOGY &amp; INNOVATION</t>
  </si>
  <si>
    <t>2352-1864</t>
  </si>
  <si>
    <t>ENVIRONMENTAL SCIENCE-WATER RESEARCH &amp; TECHNOLOGY</t>
  </si>
  <si>
    <t>2053-1400</t>
  </si>
  <si>
    <t>2053-1419</t>
  </si>
  <si>
    <t>ROYAL SOC CHEMISTRY</t>
  </si>
  <si>
    <t>ENVIRONMENTAL PROGRESS &amp; SUSTAINABLE ENERGY</t>
  </si>
  <si>
    <t>1944-7442</t>
  </si>
  <si>
    <t>1944-7450</t>
  </si>
  <si>
    <t>ENVIRONMENTAL GEOTECHNICS</t>
  </si>
  <si>
    <t>2051-803X</t>
  </si>
  <si>
    <t>ENVIRONMENTAL ENGINEERING SCIENCE</t>
  </si>
  <si>
    <t>1092-8758</t>
  </si>
  <si>
    <t>1557-9018</t>
  </si>
  <si>
    <t>ENVIRONMENT PROTECTION ENGINEERING</t>
  </si>
  <si>
    <t>0324-8828</t>
  </si>
  <si>
    <t>TECHNICAL UNIV WROCLAW</t>
  </si>
  <si>
    <t>ENGINEERING STUDIES</t>
  </si>
  <si>
    <t>1937-8629</t>
  </si>
  <si>
    <t>1940-8374</t>
  </si>
  <si>
    <t>ENGINEERING STRUCTURES</t>
  </si>
  <si>
    <t>0141-0296</t>
  </si>
  <si>
    <t>1873-7323</t>
  </si>
  <si>
    <t>ENGINEERING SCIENCE AND TECHNOLOGY-AN INTERNATIONAL JOURNAL-JESTECH</t>
  </si>
  <si>
    <t>2215-0986</t>
  </si>
  <si>
    <t>ELSEVIER - DIVISION REED ELSEVIER INDIA PVT LTD</t>
  </si>
  <si>
    <t>ENGINEERING OPTIMIZATION</t>
  </si>
  <si>
    <t>0305-215X</t>
  </si>
  <si>
    <t>1029-0273</t>
  </si>
  <si>
    <t>ENGINEERING MANAGEMENT JOURNAL</t>
  </si>
  <si>
    <t>1042-9247</t>
  </si>
  <si>
    <t>2377-0643</t>
  </si>
  <si>
    <t>ENGINEERING JOURNAL-AMERICAN INSTITUTE OF STEEL CONSTRUCTION</t>
  </si>
  <si>
    <t>0013-8029</t>
  </si>
  <si>
    <t>AMER INST STEEL CONSTRUCTION</t>
  </si>
  <si>
    <t>ENGINEERING FRACTURE MECHANICS</t>
  </si>
  <si>
    <t>0013-7944</t>
  </si>
  <si>
    <t>1873-7315</t>
  </si>
  <si>
    <t>ENGINEERING FAILURE ANALYSIS</t>
  </si>
  <si>
    <t>1350-6307</t>
  </si>
  <si>
    <t>1873-1961</t>
  </si>
  <si>
    <t>ENGINEERING COMPUTATIONS</t>
  </si>
  <si>
    <t>0264-4401</t>
  </si>
  <si>
    <t>1758-7077</t>
  </si>
  <si>
    <t>ENGINEERING APPLICATIONS OF COMPUTATIONAL FLUID MECHANICS</t>
  </si>
  <si>
    <t>1994-2060</t>
  </si>
  <si>
    <t>1997-003X</t>
  </si>
  <si>
    <t>ENGINEERING APPLICATIONS OF ARTIFICIAL INTELLIGENCE</t>
  </si>
  <si>
    <t>0952-1976</t>
  </si>
  <si>
    <t>1873-6769</t>
  </si>
  <si>
    <t>ENGINEERING ANALYSIS WITH BOUNDARY ELEMENTS</t>
  </si>
  <si>
    <t>0955-7997</t>
  </si>
  <si>
    <t>1873-197X</t>
  </si>
  <si>
    <t>ENGINEERING</t>
  </si>
  <si>
    <t>2095-8099</t>
  </si>
  <si>
    <t>2096-0026</t>
  </si>
  <si>
    <t>ENERGY TECHNOLOGY</t>
  </si>
  <si>
    <t>2194-4288</t>
  </si>
  <si>
    <t>2194-4296</t>
  </si>
  <si>
    <t>ENERGY SUSTAINABILITY AND SOCIETY</t>
  </si>
  <si>
    <t>2192-0567</t>
  </si>
  <si>
    <t>ENERGY STRATEGY REVIEWS</t>
  </si>
  <si>
    <t>2211-467X</t>
  </si>
  <si>
    <t>2211-4688</t>
  </si>
  <si>
    <t>ENERGY SOURCES PART B-ECONOMICS PLANNING AND POLICY</t>
  </si>
  <si>
    <t>1556-7249</t>
  </si>
  <si>
    <t>1556-7257</t>
  </si>
  <si>
    <t>ENERGY SOURCES PART A-RECOVERY UTILIZATION AND ENVIRONMENTAL EFFECTS</t>
  </si>
  <si>
    <t>1556-7036</t>
  </si>
  <si>
    <t>1556-7230</t>
  </si>
  <si>
    <t>ENERGY SCIENCE &amp; ENGINEERING</t>
  </si>
  <si>
    <t>2050-0505</t>
  </si>
  <si>
    <t>ENERGY REPORTS</t>
  </si>
  <si>
    <t>2352-4847</t>
  </si>
  <si>
    <t>ENERGY FOR SUSTAINABLE DEVELOPMENT</t>
  </si>
  <si>
    <t>0973-0826</t>
  </si>
  <si>
    <t>2352-4669</t>
  </si>
  <si>
    <t>ENERGY EXPLORATION &amp; EXPLOITATION</t>
  </si>
  <si>
    <t>0144-5987</t>
  </si>
  <si>
    <t>2048-4054</t>
  </si>
  <si>
    <t>ENERGY CONVERSION AND MANAGEMENT</t>
  </si>
  <si>
    <t>0196-8904</t>
  </si>
  <si>
    <t>1879-2227</t>
  </si>
  <si>
    <t>ENERGY AND BUILDINGS</t>
  </si>
  <si>
    <t>0378-7788</t>
  </si>
  <si>
    <t>1872-6178</t>
  </si>
  <si>
    <t>ENERGY &amp; FUELS</t>
  </si>
  <si>
    <t>0887-0624</t>
  </si>
  <si>
    <t>1520-5029</t>
  </si>
  <si>
    <t>AMER CHEMICAL SOC</t>
  </si>
  <si>
    <t>ENERGY</t>
  </si>
  <si>
    <t>0360-5442</t>
  </si>
  <si>
    <t>1873-6785</t>
  </si>
  <si>
    <t>ENERGIES</t>
  </si>
  <si>
    <t>1996-1073</t>
  </si>
  <si>
    <t>ELEKTRONIKA IR ELEKTROTECHNIKA</t>
  </si>
  <si>
    <t>1392-1215</t>
  </si>
  <si>
    <t>KAUNAS UNIV TECHNOLOGY</t>
  </si>
  <si>
    <t>ELECTRONICS LETTERS</t>
  </si>
  <si>
    <t>0013-5194</t>
  </si>
  <si>
    <t>1350-911X</t>
  </si>
  <si>
    <t>ELECTRONICS AND COMMUNICATIONS IN JAPAN</t>
  </si>
  <si>
    <t>1942-9533</t>
  </si>
  <si>
    <t>1942-9541</t>
  </si>
  <si>
    <t>ELECTRONICS</t>
  </si>
  <si>
    <t>2079-9292</t>
  </si>
  <si>
    <t>ELECTROMAGNETICS</t>
  </si>
  <si>
    <t>0272-6343</t>
  </si>
  <si>
    <t>1532-527X</t>
  </si>
  <si>
    <t>ELECTRICAL ENGINEERING IN JAPAN</t>
  </si>
  <si>
    <t>0424-7760</t>
  </si>
  <si>
    <t>1520-6416</t>
  </si>
  <si>
    <t>ELECTRICAL ENGINEERING</t>
  </si>
  <si>
    <t>0948-7921</t>
  </si>
  <si>
    <t>1432-0487</t>
  </si>
  <si>
    <t>ELECTRIC POWER SYSTEMS RESEARCH</t>
  </si>
  <si>
    <t>0378-7796</t>
  </si>
  <si>
    <t>1873-2046</t>
  </si>
  <si>
    <t>ELECTRIC POWER COMPONENTS AND SYSTEMS</t>
  </si>
  <si>
    <t>1532-5008</t>
  </si>
  <si>
    <t>1532-5016</t>
  </si>
  <si>
    <t>EKSPLOATACJA I NIEZAWODNOSC-MAINTENANCE AND RELIABILITY</t>
  </si>
  <si>
    <t>1507-2711</t>
  </si>
  <si>
    <t>POLISH MAINTENANCE SOC</t>
  </si>
  <si>
    <t>EDUCATION FOR CHEMICAL ENGINEERS</t>
  </si>
  <si>
    <t>1749-7728</t>
  </si>
  <si>
    <t>EARTHQUAKES AND STRUCTURES</t>
  </si>
  <si>
    <t>2092-7614</t>
  </si>
  <si>
    <t>2092-7622</t>
  </si>
  <si>
    <t>EARTHQUAKE ENGINEERING AND ENGINEERING VIBRATION</t>
  </si>
  <si>
    <t>1671-3664</t>
  </si>
  <si>
    <t>1993-503X</t>
  </si>
  <si>
    <t>EARTHQUAKE ENGINEERING &amp; STRUCTURAL DYNAMICS</t>
  </si>
  <si>
    <t>0098-8847</t>
  </si>
  <si>
    <t>1096-9845</t>
  </si>
  <si>
    <t>DYNA</t>
  </si>
  <si>
    <t>0012-7361</t>
  </si>
  <si>
    <t>1989-1490</t>
  </si>
  <si>
    <t>FEDERACION ASOCIACIONES INGENIEROS INDUSTRIALES ESPANA</t>
  </si>
  <si>
    <t>DRYING TECHNOLOGY</t>
  </si>
  <si>
    <t>0737-3937</t>
  </si>
  <si>
    <t>1532-2300</t>
  </si>
  <si>
    <t>DISCRETE EVENT DYNAMIC SYSTEMS-THEORY AND APPLICATIONS</t>
  </si>
  <si>
    <t>0924-6703</t>
  </si>
  <si>
    <t>1573-7594</t>
  </si>
  <si>
    <t>DISCRETE APPLIED MATHEMATICS</t>
  </si>
  <si>
    <t>0166-218X</t>
  </si>
  <si>
    <t>1872-6771</t>
  </si>
  <si>
    <t>DISCRETE &amp; COMPUTATIONAL GEOMETRY</t>
  </si>
  <si>
    <t>0179-5376</t>
  </si>
  <si>
    <t>1432-0444</t>
  </si>
  <si>
    <t>DIGITAL SIGNAL PROCESSING</t>
  </si>
  <si>
    <t>1051-2004</t>
  </si>
  <si>
    <t>1095-4333</t>
  </si>
  <si>
    <t>ACADEMIC PRESS INC ELSEVIER SCIENCE</t>
  </si>
  <si>
    <t>DEVELOPMENTS IN THE BUILT ENVIRONMENT</t>
  </si>
  <si>
    <t>2666-1659</t>
  </si>
  <si>
    <t>DESIGN STUDIES</t>
  </si>
  <si>
    <t>0142-694X</t>
  </si>
  <si>
    <t>1872-6909</t>
  </si>
  <si>
    <t>DESALINATION AND WATER TREATMENT</t>
  </si>
  <si>
    <t>1944-3994</t>
  </si>
  <si>
    <t>1944-3986</t>
  </si>
  <si>
    <t>DESALINATION PUBL</t>
  </si>
  <si>
    <t>DEFENCE TECHNOLOGY</t>
  </si>
  <si>
    <t>2096-3459</t>
  </si>
  <si>
    <t>2214-9147</t>
  </si>
  <si>
    <t>DEFENCE SCIENCE JOURNAL</t>
  </si>
  <si>
    <t>0011-748X</t>
  </si>
  <si>
    <t>0976-464X</t>
  </si>
  <si>
    <t>DEFENCE SCIENTIFIC INFORMATION DOCUMENTATION CENTRE</t>
  </si>
  <si>
    <t>CYBERNETICS AND SYSTEMS</t>
  </si>
  <si>
    <t>0196-9722</t>
  </si>
  <si>
    <t>1087-6553</t>
  </si>
  <si>
    <t>CURRENT OPINION IN BIOMEDICAL ENGINEERING</t>
  </si>
  <si>
    <t>2468-4511</t>
  </si>
  <si>
    <t>CT&amp;F-CIENCIA TECNOLOGIA Y FUTURO</t>
  </si>
  <si>
    <t>0122-5383</t>
  </si>
  <si>
    <t>ECOPETROL SA</t>
  </si>
  <si>
    <t>CSEE JOURNAL OF POWER AND ENERGY SYSTEMS</t>
  </si>
  <si>
    <t>2096-0042</t>
  </si>
  <si>
    <t>CHINA ELECTRIC POWER RESEARCH INST</t>
  </si>
  <si>
    <t>CONTROL ENGINEERING PRACTICE</t>
  </si>
  <si>
    <t>0967-0661</t>
  </si>
  <si>
    <t>1873-6939</t>
  </si>
  <si>
    <t>CONTROL ENGINEERING AND APPLIED INFORMATICS</t>
  </si>
  <si>
    <t>1454-8658</t>
  </si>
  <si>
    <t>ROMANIAN SOC CONTROL TECH INFORMATICS</t>
  </si>
  <si>
    <t>CONTINUUM MECHANICS AND THERMODYNAMICS</t>
  </si>
  <si>
    <t>0935-1175</t>
  </si>
  <si>
    <t>1432-0959</t>
  </si>
  <si>
    <t>COMPUTER-AIDED CIVIL AND INFRASTRUCTURE ENGINEERING</t>
  </si>
  <si>
    <t>1093-9687</t>
  </si>
  <si>
    <t>1467-8667</t>
  </si>
  <si>
    <t>COMPUTATIONAL PARTICLE MECHANICS</t>
  </si>
  <si>
    <t>2196-4378</t>
  </si>
  <si>
    <t>2196-4386</t>
  </si>
  <si>
    <t>COMPUTATIONAL OPTIMIZATION AND APPLICATIONS</t>
  </si>
  <si>
    <t>0926-6003</t>
  </si>
  <si>
    <t>1573-2894</t>
  </si>
  <si>
    <t>COMPUTATIONAL MECHANICS</t>
  </si>
  <si>
    <t>0178-7675</t>
  </si>
  <si>
    <t>1432-0924</t>
  </si>
  <si>
    <t>COMPUTATIONAL INTELLIGENCE</t>
  </si>
  <si>
    <t>0824-7935</t>
  </si>
  <si>
    <t>1467-8640</t>
  </si>
  <si>
    <t>COMPUTATIONAL GEOMETRY-THEORY AND APPLICATIONS</t>
  </si>
  <si>
    <t>0925-7721</t>
  </si>
  <si>
    <t>1879-081X</t>
  </si>
  <si>
    <t>COMPUTATIONAL COMPLEXITY</t>
  </si>
  <si>
    <t>1016-3328</t>
  </si>
  <si>
    <t>1420-8954</t>
  </si>
  <si>
    <t>SPRINGER BASEL AG</t>
  </si>
  <si>
    <t>COMPTES RENDUS MECANIQUE</t>
  </si>
  <si>
    <t>1631-0721</t>
  </si>
  <si>
    <t>1873-7234</t>
  </si>
  <si>
    <t>ACAD SCIENCES</t>
  </si>
  <si>
    <t>COMPEL-THE INTERNATIONAL JOURNAL FOR COMPUTATION AND MATHEMATICS IN ELECTRICAL AND ELECTRONIC ENGINEERING</t>
  </si>
  <si>
    <t>0332-1649</t>
  </si>
  <si>
    <t>COMBUSTION THEORY AND MODELLING</t>
  </si>
  <si>
    <t>1364-7830</t>
  </si>
  <si>
    <t>1741-3559</t>
  </si>
  <si>
    <t>COMBUSTION SCIENCE AND TECHNOLOGY</t>
  </si>
  <si>
    <t>0010-2202</t>
  </si>
  <si>
    <t>1563-521X</t>
  </si>
  <si>
    <t>COMBUSTION EXPLOSION AND SHOCK WAVES</t>
  </si>
  <si>
    <t>0010-5082</t>
  </si>
  <si>
    <t>1573-8345</t>
  </si>
  <si>
    <t>COMBUSTION AND FLAME</t>
  </si>
  <si>
    <t>0010-2180</t>
  </si>
  <si>
    <t>1556-2921</t>
  </si>
  <si>
    <t>COLD REGIONS SCIENCE AND TECHNOLOGY</t>
  </si>
  <si>
    <t>0165-232X</t>
  </si>
  <si>
    <t>1872-7441</t>
  </si>
  <si>
    <t>COASTAL ENGINEERING JOURNAL</t>
  </si>
  <si>
    <t>2166-4250</t>
  </si>
  <si>
    <t>1793-6292</t>
  </si>
  <si>
    <t>COASTAL ENGINEERING</t>
  </si>
  <si>
    <t>0378-3839</t>
  </si>
  <si>
    <t>1872-7379</t>
  </si>
  <si>
    <t>CIVIL ENGINEERING AND ENVIRONMENTAL SYSTEMS</t>
  </si>
  <si>
    <t>1028-6608</t>
  </si>
  <si>
    <t>1029-0249</t>
  </si>
  <si>
    <t>CIVIL ENGINEERING</t>
  </si>
  <si>
    <t>0885-7024</t>
  </si>
  <si>
    <t>CIRP JOURNAL OF MANUFACTURING SCIENCE AND TECHNOLOGY</t>
  </si>
  <si>
    <t>1755-5817</t>
  </si>
  <si>
    <t>1878-0016</t>
  </si>
  <si>
    <t>CIRP ANNALS-MANUFACTURING TECHNOLOGY</t>
  </si>
  <si>
    <t>0007-8506</t>
  </si>
  <si>
    <t>1726-0604</t>
  </si>
  <si>
    <t>CIRCUITS SYSTEMS AND SIGNAL PROCESSING</t>
  </si>
  <si>
    <t>0278-081X</t>
  </si>
  <si>
    <t>1531-5878</t>
  </si>
  <si>
    <t>SPRINGER BIRKHAUSER</t>
  </si>
  <si>
    <t>CIRCUIT WORLD</t>
  </si>
  <si>
    <t>0305-6120</t>
  </si>
  <si>
    <t>1758-602X</t>
  </si>
  <si>
    <t>CHINESE JOURNAL OF MECHANICAL ENGINEERING</t>
  </si>
  <si>
    <t>1000-9345</t>
  </si>
  <si>
    <t>2192-8258</t>
  </si>
  <si>
    <t>CHINESE JOURNAL OF ELECTRONICS</t>
  </si>
  <si>
    <t>1022-4653</t>
  </si>
  <si>
    <t>2075-5597</t>
  </si>
  <si>
    <t>CHINESE JOURNAL OF AERONAUTICS</t>
  </si>
  <si>
    <t>1000-9361</t>
  </si>
  <si>
    <t>2588-9230</t>
  </si>
  <si>
    <t>CHINA PETROLEUM PROCESSING &amp; PETROCHEMICAL TECHNOLOGY</t>
  </si>
  <si>
    <t>1008-6234</t>
  </si>
  <si>
    <t>CHINA PETROLEUM PROCESSING &amp; PETROCHEMICAL TECHNOLOGY PRESS</t>
  </si>
  <si>
    <t>CHINA OCEAN ENGINEERING</t>
  </si>
  <si>
    <t>0890-5487</t>
  </si>
  <si>
    <t>2191-8945</t>
  </si>
  <si>
    <t>SPRINGER MEDIZIN VERLAG GmBH</t>
  </si>
  <si>
    <t>CHEMICAL ENGINEERING JOURNAL</t>
  </si>
  <si>
    <t>1385-8947</t>
  </si>
  <si>
    <t>1873-3212</t>
  </si>
  <si>
    <t>CHEMICAL ENGINEERING AND PROCESSING-PROCESS INTENSIFICATION</t>
  </si>
  <si>
    <t>0255-2701</t>
  </si>
  <si>
    <t>1873-3204</t>
  </si>
  <si>
    <t>CENTRAL EUROPEAN JOURNAL OF OPERATIONS RESEARCH</t>
  </si>
  <si>
    <t>1435-246X</t>
  </si>
  <si>
    <t>1613-9178</t>
  </si>
  <si>
    <t>CASE STUDIES IN THERMAL ENGINEERING</t>
  </si>
  <si>
    <t>2214-157X</t>
  </si>
  <si>
    <t>CANADIAN JOURNAL OF CIVIL ENGINEERING</t>
  </si>
  <si>
    <t>0315-1468</t>
  </si>
  <si>
    <t>1208-6029</t>
  </si>
  <si>
    <t>CANADIAN GEOTECHNICAL JOURNAL</t>
  </si>
  <si>
    <t>0008-3674</t>
  </si>
  <si>
    <t>1208-6010</t>
  </si>
  <si>
    <t>BULLETIN OF THE POLISH ACADEMY OF SCIENCES-TECHNICAL SCIENCES</t>
  </si>
  <si>
    <t>0239-7528</t>
  </si>
  <si>
    <t>2300-1917</t>
  </si>
  <si>
    <t>POLSKA AKAD NAUK, POLISH ACAD SCI, DIV IV TECHNICAL SCIENCES PAS</t>
  </si>
  <si>
    <t>BUILDINGS</t>
  </si>
  <si>
    <t>2075-5309</t>
  </si>
  <si>
    <t>BUILDING SIMULATION</t>
  </si>
  <si>
    <t>1996-3599</t>
  </si>
  <si>
    <t>1996-8744</t>
  </si>
  <si>
    <t>BUILDING SERVICES ENGINEERING RESEARCH &amp; TECHNOLOGY</t>
  </si>
  <si>
    <t>0143-6244</t>
  </si>
  <si>
    <t>1477-0849</t>
  </si>
  <si>
    <t>BUILDING RESEARCH AND INFORMATION</t>
  </si>
  <si>
    <t>0961-3218</t>
  </si>
  <si>
    <t>1466-4321</t>
  </si>
  <si>
    <t>BUILDING AND ENVIRONMENT</t>
  </si>
  <si>
    <t>0360-1323</t>
  </si>
  <si>
    <t>1873-684X</t>
  </si>
  <si>
    <t>BRODOGRADNJA</t>
  </si>
  <si>
    <t>0007-215X</t>
  </si>
  <si>
    <t>1845-5859</t>
  </si>
  <si>
    <t>BIOPROCESS AND BIOSYSTEMS ENGINEERING</t>
  </si>
  <si>
    <t>1615-7591</t>
  </si>
  <si>
    <t>1615-7605</t>
  </si>
  <si>
    <t>BIOMIMETICS</t>
  </si>
  <si>
    <t>2313-7673</t>
  </si>
  <si>
    <t>BIOMEDICAL SIGNAL PROCESSING AND CONTROL</t>
  </si>
  <si>
    <t>1746-8094</t>
  </si>
  <si>
    <t>1746-8108</t>
  </si>
  <si>
    <t>BIOMEDICAL ENGINEERING LETTERS</t>
  </si>
  <si>
    <t>2093-9868</t>
  </si>
  <si>
    <t>2093-985X</t>
  </si>
  <si>
    <t>BIOMASS CONVERSION AND BIOREFINERY</t>
  </si>
  <si>
    <t>2190-6815</t>
  </si>
  <si>
    <t>2190-6823</t>
  </si>
  <si>
    <t>BIOINSPIRATION &amp; BIOMIMETICS</t>
  </si>
  <si>
    <t>1748-3182</t>
  </si>
  <si>
    <t>1748-3190</t>
  </si>
  <si>
    <t>BIOENGINEERING-BASEL</t>
  </si>
  <si>
    <t>2306-5354</t>
  </si>
  <si>
    <t>BIO-DESIGN AND MANUFACTURING</t>
  </si>
  <si>
    <t>2096-5524</t>
  </si>
  <si>
    <t>2522-8552</t>
  </si>
  <si>
    <t>BETON- UND STAHLBETONBAU</t>
  </si>
  <si>
    <t>0005-9900</t>
  </si>
  <si>
    <t>1437-1006</t>
  </si>
  <si>
    <t>BAUTECHNIK</t>
  </si>
  <si>
    <t>0932-8351</t>
  </si>
  <si>
    <t>1437-0999</t>
  </si>
  <si>
    <t>BAUPHYSIK</t>
  </si>
  <si>
    <t>0171-5445</t>
  </si>
  <si>
    <t>1437-0980</t>
  </si>
  <si>
    <t>BAUINGENIEUR</t>
  </si>
  <si>
    <t>0005-6650</t>
  </si>
  <si>
    <t>1436-4867</t>
  </si>
  <si>
    <t>VDI FACHMEDIEN GMBH &amp; CO KG UNTERNEHMEN FACHINFORMATIONEN</t>
  </si>
  <si>
    <t>BALTIC JOURNAL OF ROAD AND BRIDGE ENGINEERING</t>
  </si>
  <si>
    <t>1822-427X</t>
  </si>
  <si>
    <t>1822-4288</t>
  </si>
  <si>
    <t>LATVIA</t>
  </si>
  <si>
    <t>RIGA TECHNICAL UNIV-RTU</t>
  </si>
  <si>
    <t>AUTONOMOUS ROBOTS</t>
  </si>
  <si>
    <t>0929-5593</t>
  </si>
  <si>
    <t>1573-7527</t>
  </si>
  <si>
    <t>AUTOMATION IN CONSTRUCTION</t>
  </si>
  <si>
    <t>0926-5805</t>
  </si>
  <si>
    <t>1872-7891</t>
  </si>
  <si>
    <t>AUTOMATION AND REMOTE CONTROL</t>
  </si>
  <si>
    <t>0005-1179</t>
  </si>
  <si>
    <t>1608-3032</t>
  </si>
  <si>
    <t>AUTOMATIKA</t>
  </si>
  <si>
    <t>0005-1144</t>
  </si>
  <si>
    <t>1848-3380</t>
  </si>
  <si>
    <t>AUTOMATICA</t>
  </si>
  <si>
    <t>0005-1098</t>
  </si>
  <si>
    <t>1873-2836</t>
  </si>
  <si>
    <t>ATW-INTERNATIONAL JOURNAL FOR NUCLEAR POWER</t>
  </si>
  <si>
    <t>1431-5254</t>
  </si>
  <si>
    <t>INFORUM VERLAGS-VERWALTUNGSGESELLSCHAFT MBH</t>
  </si>
  <si>
    <t>ATOMIZATION AND SPRAYS</t>
  </si>
  <si>
    <t>1044-5110</t>
  </si>
  <si>
    <t>1936-2684</t>
  </si>
  <si>
    <t>ATOMIC ENERGY</t>
  </si>
  <si>
    <t>1063-4258</t>
  </si>
  <si>
    <t>1573-8205</t>
  </si>
  <si>
    <t>AT-AUTOMATISIERUNGSTECHNIK</t>
  </si>
  <si>
    <t>0178-2312</t>
  </si>
  <si>
    <t>2196-677X</t>
  </si>
  <si>
    <t>ASME JOURNAL OF HEAT AND MASS TRANSFER</t>
  </si>
  <si>
    <t>2832-8450</t>
  </si>
  <si>
    <t>ASIAN JOURNAL OF CONTROL</t>
  </si>
  <si>
    <t>1561-8625</t>
  </si>
  <si>
    <t>1934-6093</t>
  </si>
  <si>
    <t>ASIA-PACIFIC JOURNAL OF OPERATIONAL RESEARCH</t>
  </si>
  <si>
    <t>0217-5959</t>
  </si>
  <si>
    <t>1793-7019</t>
  </si>
  <si>
    <t>ASHRAE JOURNAL</t>
  </si>
  <si>
    <t>0001-2491</t>
  </si>
  <si>
    <t>1943-6637</t>
  </si>
  <si>
    <t>AMER SOC HEATING REFRIGERATING AIR-CONDITIONING ENG, INC,</t>
  </si>
  <si>
    <t>ASCE-ASME JOURNAL OF RISK AND UNCERTAINTY IN ENGINEERING SYSTEMS PART A-CIVIL ENGINEERING</t>
  </si>
  <si>
    <t>2376-7642</t>
  </si>
  <si>
    <t>ARCHIVES OF MECHANICS</t>
  </si>
  <si>
    <t>0373-2029</t>
  </si>
  <si>
    <t>POLISH ACAD SCIENCES INST FUNDAMENTAL TECHNOLOGICAL RESEARCH</t>
  </si>
  <si>
    <t>ARCHIVES OF CONTROL SCIENCES</t>
  </si>
  <si>
    <t>2300-2611</t>
  </si>
  <si>
    <t>POLSKA AKAD NAUK, POLISH ACAD SCIENCES</t>
  </si>
  <si>
    <t>ARCHIVES OF COMPUTATIONAL METHODS IN ENGINEERING</t>
  </si>
  <si>
    <t>1134-3060</t>
  </si>
  <si>
    <t>1886-1784</t>
  </si>
  <si>
    <t>ARCHIVES OF CIVIL AND MECHANICAL ENGINEERING</t>
  </si>
  <si>
    <t>1644-9665</t>
  </si>
  <si>
    <t>2083-3318</t>
  </si>
  <si>
    <t>ARCHIVE OF APPLIED MECHANICS</t>
  </si>
  <si>
    <t>0939-1533</t>
  </si>
  <si>
    <t>1432-0681</t>
  </si>
  <si>
    <t>ARCHITECTURAL ENGINEERING AND DESIGN MANAGEMENT</t>
  </si>
  <si>
    <t>1745-2007</t>
  </si>
  <si>
    <t>1752-7589</t>
  </si>
  <si>
    <t>ARABIAN JOURNAL FOR SCIENCE AND ENGINEERING</t>
  </si>
  <si>
    <t>2193-567X</t>
  </si>
  <si>
    <t>2191-4281</t>
  </si>
  <si>
    <t>SAUDI ARABIA</t>
  </si>
  <si>
    <t>APPLIED THERMAL ENGINEERING</t>
  </si>
  <si>
    <t>1359-4311</t>
  </si>
  <si>
    <t>1873-5606</t>
  </si>
  <si>
    <t>APPLIED SCIENCES-BASEL</t>
  </si>
  <si>
    <t>2076-3417</t>
  </si>
  <si>
    <t>APPLIED OCEAN RESEARCH</t>
  </si>
  <si>
    <t>0141-1187</t>
  </si>
  <si>
    <t>1879-1549</t>
  </si>
  <si>
    <t>APPLIED MECHANICS REVIEWS</t>
  </si>
  <si>
    <t>0003-6900</t>
  </si>
  <si>
    <t>2379-0407</t>
  </si>
  <si>
    <t>APPLIED MATHEMATICS IN SCIENCE AND ENGINEERING</t>
  </si>
  <si>
    <t>2769-0911</t>
  </si>
  <si>
    <t>APPLIED MATHEMATICS AND MECHANICS-ENGLISH EDITION</t>
  </si>
  <si>
    <t>0253-4827</t>
  </si>
  <si>
    <t>1573-2754</t>
  </si>
  <si>
    <t>SHANGHAI UNIV</t>
  </si>
  <si>
    <t>APPLIED MATHEMATICAL MODELLING</t>
  </si>
  <si>
    <t>0307-904X</t>
  </si>
  <si>
    <t>1872-8480</t>
  </si>
  <si>
    <t>APPLIED INTELLIGENCE</t>
  </si>
  <si>
    <t>0924-669X</t>
  </si>
  <si>
    <t>1573-7497</t>
  </si>
  <si>
    <t>APPLIED ERGONOMICS</t>
  </si>
  <si>
    <t>0003-6870</t>
  </si>
  <si>
    <t>1872-9126</t>
  </si>
  <si>
    <t>APPLIED ENERGY</t>
  </si>
  <si>
    <t>0306-2619</t>
  </si>
  <si>
    <t>1872-9118</t>
  </si>
  <si>
    <t>APPLIED COMPUTATIONAL ELECTROMAGNETICS SOCIETY JOURNAL</t>
  </si>
  <si>
    <t>1054-4887</t>
  </si>
  <si>
    <t>1943-5711</t>
  </si>
  <si>
    <t>APPLIED COMPUTATIONAL ELECTROMAGNETICS SOC</t>
  </si>
  <si>
    <t>APPLIED ARTIFICIAL INTELLIGENCE</t>
  </si>
  <si>
    <t>0883-9514</t>
  </si>
  <si>
    <t>1087-6545</t>
  </si>
  <si>
    <t>APL BIOENGINEERING</t>
  </si>
  <si>
    <t>2473-2877</t>
  </si>
  <si>
    <t>ANNUAL REVIEWS IN CONTROL</t>
  </si>
  <si>
    <t>1367-5788</t>
  </si>
  <si>
    <t>1872-9088</t>
  </si>
  <si>
    <t>ANNUAL REVIEW OF CONTROL ROBOTICS AND AUTONOMOUS SYSTEMS</t>
  </si>
  <si>
    <t>2573-5144</t>
  </si>
  <si>
    <t>ANNUAL REVIEWS</t>
  </si>
  <si>
    <t>ANNALS OF OPERATIONS RESEARCH</t>
  </si>
  <si>
    <t>0254-5330</t>
  </si>
  <si>
    <t>1572-9338</t>
  </si>
  <si>
    <t>ANNALS OF NUCLEAR ENERGY</t>
  </si>
  <si>
    <t>0306-4549</t>
  </si>
  <si>
    <t>1873-2100</t>
  </si>
  <si>
    <t>ANNALS OF MATHEMATICS AND ARTIFICIAL INTELLIGENCE</t>
  </si>
  <si>
    <t>1012-2443</t>
  </si>
  <si>
    <t>1573-7470</t>
  </si>
  <si>
    <t>ANALOG INTEGRATED CIRCUITS AND SIGNAL PROCESSING</t>
  </si>
  <si>
    <t>0925-1030</t>
  </si>
  <si>
    <t>1573-1979</t>
  </si>
  <si>
    <t>ALGORITHMICA</t>
  </si>
  <si>
    <t>0178-4617</t>
  </si>
  <si>
    <t>1432-0541</t>
  </si>
  <si>
    <t>ALEXANDRIA ENGINEERING JOURNAL</t>
  </si>
  <si>
    <t>1110-0168</t>
  </si>
  <si>
    <t>2090-2670</t>
  </si>
  <si>
    <t>EGYPT</t>
  </si>
  <si>
    <t>AIRCRAFT ENGINEERING AND AEROSPACE TECHNOLOGY</t>
  </si>
  <si>
    <t>1748-8842</t>
  </si>
  <si>
    <t>1758-4213</t>
  </si>
  <si>
    <t>AIN SHAMS ENGINEERING JOURNAL</t>
  </si>
  <si>
    <t>2090-4479</t>
  </si>
  <si>
    <t>2090-4495</t>
  </si>
  <si>
    <t>AIAA JOURNAL</t>
  </si>
  <si>
    <t>0001-1452</t>
  </si>
  <si>
    <t>1533-385X</t>
  </si>
  <si>
    <t>AI MAGAZINE</t>
  </si>
  <si>
    <t>0738-4602</t>
  </si>
  <si>
    <t>2371-9621</t>
  </si>
  <si>
    <t>AMER ASSOC ARTIFICIAL INTELL</t>
  </si>
  <si>
    <t>AI EDAM-ARTIFICIAL INTELLIGENCE FOR ENGINEERING DESIGN ANALYSIS AND MANUFACTURING</t>
  </si>
  <si>
    <t>0890-0604</t>
  </si>
  <si>
    <t>1469-1760</t>
  </si>
  <si>
    <t>AI COMMUNICATIONS</t>
  </si>
  <si>
    <t>0921-7126</t>
  </si>
  <si>
    <t>1875-8452</t>
  </si>
  <si>
    <t>AEROSPACE SCIENCE AND TECHNOLOGY</t>
  </si>
  <si>
    <t>1270-9638</t>
  </si>
  <si>
    <t>1626-3219</t>
  </si>
  <si>
    <t>AEROSPACE AMERICA</t>
  </si>
  <si>
    <t>0740-722X</t>
  </si>
  <si>
    <t>AEROSPACE</t>
  </si>
  <si>
    <t>2226-4310</t>
  </si>
  <si>
    <t>AERONAUTICAL JOURNAL</t>
  </si>
  <si>
    <t>0001-9240</t>
  </si>
  <si>
    <t>2059-6464</t>
  </si>
  <si>
    <t>ADVANCES IN WATER RESOURCES</t>
  </si>
  <si>
    <t>0309-1708</t>
  </si>
  <si>
    <t>1872-9657</t>
  </si>
  <si>
    <t>ADVANCES IN STRUCTURAL ENGINEERING</t>
  </si>
  <si>
    <t>1369-4332</t>
  </si>
  <si>
    <t>2048-4011</t>
  </si>
  <si>
    <t>ADVANCES IN PRODUCTION ENGINEERING &amp; MANAGEMENT</t>
  </si>
  <si>
    <t>1854-6250</t>
  </si>
  <si>
    <t>1855-6531</t>
  </si>
  <si>
    <t>UNIV MARIBOR, FAC MECHANICAL ENGINEERING</t>
  </si>
  <si>
    <t>ADVANCES IN MECHANICAL ENGINEERING</t>
  </si>
  <si>
    <t>1687-8132</t>
  </si>
  <si>
    <t>1687-8140</t>
  </si>
  <si>
    <t>ADVANCES IN MANUFACTURING</t>
  </si>
  <si>
    <t>2095-3127</t>
  </si>
  <si>
    <t>2195-3597</t>
  </si>
  <si>
    <t>ADVANCES IN ELECTRICAL AND COMPUTER ENGINEERING</t>
  </si>
  <si>
    <t>1582-7445</t>
  </si>
  <si>
    <t>1844-7600</t>
  </si>
  <si>
    <t>UNIV SUCEAVA, FAC ELECTRICAL ENG</t>
  </si>
  <si>
    <t>ADVANCES IN CIVIL ENGINEERING</t>
  </si>
  <si>
    <t>1687-8086</t>
  </si>
  <si>
    <t>1687-8094</t>
  </si>
  <si>
    <t>ADVANCED STEEL CONSTRUCTION</t>
  </si>
  <si>
    <t>1816-112X</t>
  </si>
  <si>
    <t>HONG KONG INST STEEL CONSTRUCTION</t>
  </si>
  <si>
    <t>ADVANCED ROBOTICS</t>
  </si>
  <si>
    <t>0169-1864</t>
  </si>
  <si>
    <t>1568-5535</t>
  </si>
  <si>
    <t>ADVANCED INTELLIGENT SYSTEMS</t>
  </si>
  <si>
    <t>2640-4567</t>
  </si>
  <si>
    <t>ADVANCED ENGINEERING INFORMATICS</t>
  </si>
  <si>
    <t>1474-0346</t>
  </si>
  <si>
    <t>1873-5320</t>
  </si>
  <si>
    <t>ADDITIVE MANUFACTURING</t>
  </si>
  <si>
    <t>2214-8604</t>
  </si>
  <si>
    <t>2214-7810</t>
  </si>
  <si>
    <t>ACTUATORS</t>
  </si>
  <si>
    <t>2076-0825</t>
  </si>
  <si>
    <t>ACTA POLYTECHNICA HUNGARICA</t>
  </si>
  <si>
    <t>1785-8860</t>
  </si>
  <si>
    <t>BUDAPEST TECH</t>
  </si>
  <si>
    <t>ACTA MECHANICA SOLIDA SINICA</t>
  </si>
  <si>
    <t>0894-9166</t>
  </si>
  <si>
    <t>1860-2134</t>
  </si>
  <si>
    <t>ACTA MECHANICA SINICA</t>
  </si>
  <si>
    <t>0567-7718</t>
  </si>
  <si>
    <t>1614-3116</t>
  </si>
  <si>
    <t>ACTA MECHANICA</t>
  </si>
  <si>
    <t>0001-5970</t>
  </si>
  <si>
    <t>1619-6937</t>
  </si>
  <si>
    <t>SPRINGER WIEN</t>
  </si>
  <si>
    <t>ACTA GEOTECHNICA SLOVENICA</t>
  </si>
  <si>
    <t>1854-0171</t>
  </si>
  <si>
    <t>UNIV MARIBOR</t>
  </si>
  <si>
    <t>ACTA ASTRONAUTICA</t>
  </si>
  <si>
    <t>0094-5765</t>
  </si>
  <si>
    <t>1879-2030</t>
  </si>
  <si>
    <t>ACI STRUCTURAL JOURNAL</t>
  </si>
  <si>
    <t>0889-3241</t>
  </si>
  <si>
    <t>1944-7361</t>
  </si>
  <si>
    <t>AMER CONCRETE INST</t>
  </si>
  <si>
    <t>4OR-A QUARTERLY JOURNAL OF OPERATIONS RESEARCH</t>
  </si>
  <si>
    <t>1619-4500</t>
  </si>
  <si>
    <t>1614-2411</t>
  </si>
  <si>
    <t>3D PRINTING AND ADDITIVE MANUFACTURING</t>
  </si>
  <si>
    <t>2329-7662</t>
  </si>
  <si>
    <t>2329-7670</t>
  </si>
  <si>
    <t>FUJITSU SCIENTIFIC &amp; TECHNICAL JOURNAL</t>
  </si>
  <si>
    <t>0016-2523</t>
  </si>
  <si>
    <t>影响因子(IF)</t>
    <phoneticPr fontId="1" type="noConversion"/>
  </si>
  <si>
    <t>刊名</t>
    <phoneticPr fontId="1" type="noConversion"/>
  </si>
  <si>
    <t>JCR分区</t>
    <phoneticPr fontId="1" type="noConversion"/>
  </si>
  <si>
    <r>
      <rPr>
        <b/>
        <sz val="16"/>
        <color theme="1"/>
        <rFont val="Times New Roman"/>
        <family val="1"/>
      </rPr>
      <t>ESI</t>
    </r>
    <r>
      <rPr>
        <b/>
        <sz val="16"/>
        <color theme="1"/>
        <rFont val="宋体"/>
        <family val="3"/>
        <charset val="134"/>
      </rPr>
      <t>期刊列表</t>
    </r>
    <r>
      <rPr>
        <b/>
        <sz val="16"/>
        <color theme="1"/>
        <rFont val="Times New Roman"/>
        <family val="1"/>
      </rPr>
      <t>-</t>
    </r>
    <r>
      <rPr>
        <b/>
        <sz val="16"/>
        <color theme="1"/>
        <rFont val="宋体"/>
        <family val="3"/>
        <charset val="134"/>
      </rPr>
      <t>工程学</t>
    </r>
    <r>
      <rPr>
        <b/>
        <sz val="16"/>
        <color theme="1"/>
        <rFont val="Times New Roman"/>
        <family val="1"/>
      </rPr>
      <t>202311</t>
    </r>
    <phoneticPr fontId="1" type="noConversion"/>
  </si>
  <si>
    <t>停刊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</si>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</sst>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family val="2"/>
      <charset val="134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sz val="16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</font>
    <font>
      <sz val="11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theme="9" tint="0.79998168889431442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</cellXfs>
  <cellStyles count="1">
    <cellStyle name="常规" xfId="0" builtinId="0"/>
  </cellStyles>
  <dxfs count="14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2:J916" totalsRowShown="0" headerRowDxfId="10" dataDxfId="9">
  <tableColumns count="10">
    <tableColumn id="1" name="刊名" dataDxfId="8"/>
    <tableColumn id="2" name="影响因子(IF)" dataDxfId="7"/>
    <tableColumn id="3" name="JCR分区" dataDxfId="6"/>
    <tableColumn id="4" name="JIF Rank" dataDxfId="5"/>
    <tableColumn id="5" name="立即指数" dataDxfId="4"/>
    <tableColumn id="6" name="ISSN" dataDxfId="3"/>
    <tableColumn id="7" name="eISSN" dataDxfId="2"/>
    <tableColumn id="8" name="出版来源国家/地区"/>
    <tableColumn id="9" name="出版商（全部）" dataDxfId="1"/>
    <tableColumn id="10" name="备注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6"/>
  <sheetViews>
    <sheetView tabSelected="1" workbookViewId="0">
      <selection activeCell="I5" sqref="I5"/>
    </sheetView>
  </sheetViews>
  <sheetFormatPr defaultRowHeight="14.25" x14ac:dyDescent="0.2"/>
  <cols>
    <col min="1" max="1" width="60.625" style="1" customWidth="1"/>
    <col min="2" max="3" width="13.625" style="6" customWidth="1"/>
    <col min="4" max="5" width="10.625" style="6" customWidth="1"/>
    <col min="6" max="7" width="13.625" style="6" customWidth="1"/>
    <col min="8" max="8" width="25.625" customWidth="1"/>
    <col min="9" max="9" width="30.625" style="1" customWidth="1"/>
    <col min="10" max="10" width="13.5" customWidth="1"/>
  </cols>
  <sheetData>
    <row r="1" spans="1:10" ht="30.75" customHeight="1" x14ac:dyDescent="0.2">
      <c r="A1" s="8" t="s">
        <v>2867</v>
      </c>
      <c r="B1" s="9"/>
      <c r="C1" s="9"/>
      <c r="D1" s="9"/>
      <c r="E1" s="9"/>
      <c r="F1" s="9"/>
      <c r="G1" s="9"/>
      <c r="H1" s="9"/>
      <c r="I1" s="9"/>
    </row>
    <row r="2" spans="1:10" ht="30" customHeight="1" x14ac:dyDescent="0.2">
      <c r="A2" s="2" t="s">
        <v>2865</v>
      </c>
      <c r="B2" s="3" t="s">
        <v>2864</v>
      </c>
      <c r="C2" s="3" t="s">
        <v>2866</v>
      </c>
      <c r="D2" s="3" t="s">
        <v>0</v>
      </c>
      <c r="E2" s="3" t="s">
        <v>1</v>
      </c>
      <c r="F2" s="3" t="s">
        <v>2</v>
      </c>
      <c r="G2" s="3" t="s">
        <v>3</v>
      </c>
      <c r="H2" s="2" t="s">
        <v>4</v>
      </c>
      <c r="I2" s="2" t="s">
        <v>5</v>
      </c>
      <c r="J2" s="10" t="s">
        <v>2869</v>
      </c>
    </row>
    <row r="3" spans="1:10" x14ac:dyDescent="0.2">
      <c r="A3" s="1" t="s">
        <v>669</v>
      </c>
      <c r="B3" s="6">
        <v>56.7</v>
      </c>
      <c r="C3" s="6" t="s">
        <v>7</v>
      </c>
      <c r="D3" s="6" t="str">
        <f>"1/119"</f>
        <v>1/119</v>
      </c>
      <c r="E3" s="6">
        <v>9.1999999999999993</v>
      </c>
      <c r="F3" s="6" t="s">
        <v>670</v>
      </c>
      <c r="G3" s="6" t="s">
        <v>670</v>
      </c>
      <c r="H3" t="s">
        <v>15</v>
      </c>
      <c r="I3" s="1" t="s">
        <v>671</v>
      </c>
      <c r="J3" s="6"/>
    </row>
    <row r="4" spans="1:10" x14ac:dyDescent="0.2">
      <c r="A4" s="1" t="s">
        <v>1392</v>
      </c>
      <c r="B4" s="6">
        <v>39.799999999999997</v>
      </c>
      <c r="C4" s="6" t="s">
        <v>7</v>
      </c>
      <c r="D4" s="6" t="str">
        <f>"2/161"</f>
        <v>2/161</v>
      </c>
      <c r="E4" s="6">
        <v>9.9</v>
      </c>
      <c r="F4" s="6" t="s">
        <v>1393</v>
      </c>
      <c r="G4" s="6" t="s">
        <v>1393</v>
      </c>
      <c r="H4" t="s">
        <v>27</v>
      </c>
      <c r="I4" s="1" t="s">
        <v>1394</v>
      </c>
      <c r="J4" s="6"/>
    </row>
    <row r="5" spans="1:10" x14ac:dyDescent="0.2">
      <c r="A5" s="1" t="s">
        <v>672</v>
      </c>
      <c r="B5" s="6">
        <v>34.299999999999997</v>
      </c>
      <c r="C5" s="6" t="s">
        <v>7</v>
      </c>
      <c r="D5" s="6" t="str">
        <f>"1/275"</f>
        <v>1/275</v>
      </c>
      <c r="E5" s="6">
        <v>7.1</v>
      </c>
      <c r="F5" s="6" t="s">
        <v>673</v>
      </c>
      <c r="G5" s="6" t="s">
        <v>673</v>
      </c>
      <c r="H5" t="s">
        <v>15</v>
      </c>
      <c r="I5" s="1" t="s">
        <v>671</v>
      </c>
      <c r="J5" s="6"/>
    </row>
    <row r="6" spans="1:10" x14ac:dyDescent="0.2">
      <c r="A6" s="1" t="s">
        <v>420</v>
      </c>
      <c r="B6" s="6">
        <v>29.5</v>
      </c>
      <c r="C6" s="6" t="s">
        <v>7</v>
      </c>
      <c r="D6" s="6" t="str">
        <f>"1/136"</f>
        <v>1/136</v>
      </c>
      <c r="E6" s="6">
        <v>5.9</v>
      </c>
      <c r="F6" s="6" t="s">
        <v>421</v>
      </c>
      <c r="G6" s="6" t="s">
        <v>422</v>
      </c>
      <c r="H6" t="s">
        <v>15</v>
      </c>
      <c r="I6" s="1" t="s">
        <v>40</v>
      </c>
      <c r="J6" s="6"/>
    </row>
    <row r="7" spans="1:10" ht="28.5" x14ac:dyDescent="0.2">
      <c r="A7" s="1" t="s">
        <v>301</v>
      </c>
      <c r="B7" s="6">
        <v>25</v>
      </c>
      <c r="C7" s="6" t="s">
        <v>7</v>
      </c>
      <c r="D7" s="6" t="str">
        <f>"1/30"</f>
        <v>1/30</v>
      </c>
      <c r="E7" s="6">
        <v>4.5999999999999996</v>
      </c>
      <c r="F7" s="6" t="s">
        <v>302</v>
      </c>
      <c r="G7" s="6" t="s">
        <v>302</v>
      </c>
      <c r="H7" t="s">
        <v>27</v>
      </c>
      <c r="I7" s="1" t="s">
        <v>303</v>
      </c>
      <c r="J7" s="6"/>
    </row>
    <row r="8" spans="1:10" ht="28.5" x14ac:dyDescent="0.2">
      <c r="A8" s="1" t="s">
        <v>1910</v>
      </c>
      <c r="B8" s="6">
        <v>23.6</v>
      </c>
      <c r="C8" s="6" t="s">
        <v>7</v>
      </c>
      <c r="D8" s="6" t="str">
        <f>"2/275"</f>
        <v>2/275</v>
      </c>
      <c r="E8" s="6">
        <v>9.6999999999999993</v>
      </c>
      <c r="F8" s="6" t="s">
        <v>1911</v>
      </c>
      <c r="G8" s="6" t="s">
        <v>1912</v>
      </c>
      <c r="H8" t="s">
        <v>27</v>
      </c>
      <c r="I8" s="1" t="s">
        <v>1913</v>
      </c>
      <c r="J8" s="6"/>
    </row>
    <row r="9" spans="1:10" ht="28.5" x14ac:dyDescent="0.2">
      <c r="A9" s="1" t="s">
        <v>509</v>
      </c>
      <c r="B9" s="6">
        <v>20.6</v>
      </c>
      <c r="C9" s="6" t="s">
        <v>7</v>
      </c>
      <c r="D9" s="6" t="str">
        <f>"3/275"</f>
        <v>3/275</v>
      </c>
      <c r="E9" s="6">
        <v>2.2999999999999998</v>
      </c>
      <c r="F9" s="6" t="s">
        <v>510</v>
      </c>
      <c r="G9" s="6" t="s">
        <v>511</v>
      </c>
      <c r="H9" t="s">
        <v>27</v>
      </c>
      <c r="I9" s="1" t="s">
        <v>512</v>
      </c>
      <c r="J9" s="6"/>
    </row>
    <row r="10" spans="1:10" x14ac:dyDescent="0.2">
      <c r="A10" s="1" t="s">
        <v>1648</v>
      </c>
      <c r="B10" s="6">
        <v>19.5</v>
      </c>
      <c r="C10" s="6" t="s">
        <v>7</v>
      </c>
      <c r="D10" s="6" t="str">
        <f>"3/145"</f>
        <v>3/145</v>
      </c>
      <c r="E10" s="6">
        <v>0.9</v>
      </c>
      <c r="F10" s="6" t="s">
        <v>1649</v>
      </c>
      <c r="G10" s="6" t="s">
        <v>1650</v>
      </c>
      <c r="H10" t="s">
        <v>27</v>
      </c>
      <c r="I10" s="1" t="s">
        <v>133</v>
      </c>
      <c r="J10" s="6"/>
    </row>
    <row r="11" spans="1:10" ht="28.5" x14ac:dyDescent="0.2">
      <c r="A11" s="1" t="s">
        <v>2038</v>
      </c>
      <c r="B11" s="6">
        <v>17.600000000000001</v>
      </c>
      <c r="C11" s="6" t="s">
        <v>7</v>
      </c>
      <c r="D11" s="6" t="str">
        <f>"3/96"</f>
        <v>3/96</v>
      </c>
      <c r="E11" s="6">
        <v>5</v>
      </c>
      <c r="F11" s="6" t="s">
        <v>2039</v>
      </c>
      <c r="G11" s="6" t="s">
        <v>2040</v>
      </c>
      <c r="H11" t="s">
        <v>27</v>
      </c>
      <c r="I11" s="1" t="s">
        <v>512</v>
      </c>
      <c r="J11" s="6"/>
    </row>
    <row r="12" spans="1:10" x14ac:dyDescent="0.2">
      <c r="A12" s="1" t="s">
        <v>533</v>
      </c>
      <c r="B12" s="6">
        <v>16.5</v>
      </c>
      <c r="C12" s="6" t="s">
        <v>7</v>
      </c>
      <c r="D12" s="6" t="str">
        <f>"5/100"</f>
        <v>5/100</v>
      </c>
      <c r="E12" s="6">
        <v>3.5</v>
      </c>
      <c r="F12" s="6" t="s">
        <v>60</v>
      </c>
      <c r="G12" s="6" t="s">
        <v>534</v>
      </c>
      <c r="H12" t="s">
        <v>51</v>
      </c>
      <c r="I12" s="1" t="s">
        <v>535</v>
      </c>
      <c r="J12" s="6"/>
    </row>
    <row r="13" spans="1:10" x14ac:dyDescent="0.2">
      <c r="A13" s="1" t="s">
        <v>365</v>
      </c>
      <c r="B13" s="6">
        <v>15.9</v>
      </c>
      <c r="C13" s="6" t="s">
        <v>7</v>
      </c>
      <c r="D13" s="6" t="str">
        <f>"2/46"</f>
        <v>2/46</v>
      </c>
      <c r="E13" s="6">
        <v>4.3</v>
      </c>
      <c r="F13" s="6" t="s">
        <v>366</v>
      </c>
      <c r="G13" s="6" t="s">
        <v>367</v>
      </c>
      <c r="H13" t="s">
        <v>27</v>
      </c>
      <c r="I13" s="1" t="s">
        <v>40</v>
      </c>
      <c r="J13" s="6"/>
    </row>
    <row r="14" spans="1:10" x14ac:dyDescent="0.2">
      <c r="A14" s="1" t="s">
        <v>1160</v>
      </c>
      <c r="B14" s="6">
        <v>15.7</v>
      </c>
      <c r="C14" s="6" t="s">
        <v>7</v>
      </c>
      <c r="D14" s="6" t="str">
        <f>"1/50"</f>
        <v>1/50</v>
      </c>
      <c r="E14" s="6">
        <v>6</v>
      </c>
      <c r="F14" s="6" t="s">
        <v>1161</v>
      </c>
      <c r="G14" s="6" t="s">
        <v>1162</v>
      </c>
      <c r="H14" t="s">
        <v>102</v>
      </c>
      <c r="I14" s="1" t="s">
        <v>103</v>
      </c>
      <c r="J14" s="6"/>
    </row>
    <row r="15" spans="1:10" x14ac:dyDescent="0.2">
      <c r="A15" s="1" t="s">
        <v>2561</v>
      </c>
      <c r="B15" s="6">
        <v>15.1</v>
      </c>
      <c r="C15" s="6" t="s">
        <v>7</v>
      </c>
      <c r="D15" s="6" t="str">
        <f>"5/142"</f>
        <v>5/142</v>
      </c>
      <c r="E15" s="6">
        <v>3.6</v>
      </c>
      <c r="F15" s="6" t="s">
        <v>2562</v>
      </c>
      <c r="G15" s="6" t="s">
        <v>2563</v>
      </c>
      <c r="H15" t="s">
        <v>292</v>
      </c>
      <c r="I15" s="1" t="s">
        <v>293</v>
      </c>
      <c r="J15" s="6"/>
    </row>
    <row r="16" spans="1:10" ht="28.5" x14ac:dyDescent="0.2">
      <c r="A16" s="1" t="s">
        <v>2024</v>
      </c>
      <c r="B16" s="6">
        <v>14.9</v>
      </c>
      <c r="C16" s="6" t="s">
        <v>7</v>
      </c>
      <c r="D16" s="6" t="str">
        <f>"5/275"</f>
        <v>5/275</v>
      </c>
      <c r="E16" s="6">
        <v>2.1</v>
      </c>
      <c r="F16" s="6" t="s">
        <v>2025</v>
      </c>
      <c r="G16" s="6" t="s">
        <v>2026</v>
      </c>
      <c r="H16" t="s">
        <v>27</v>
      </c>
      <c r="I16" s="1" t="s">
        <v>512</v>
      </c>
      <c r="J16" s="6"/>
    </row>
    <row r="17" spans="1:10" x14ac:dyDescent="0.2">
      <c r="A17" s="1" t="s">
        <v>1604</v>
      </c>
      <c r="B17" s="6">
        <v>14.7</v>
      </c>
      <c r="C17" s="6" t="s">
        <v>7</v>
      </c>
      <c r="D17" s="6" t="str">
        <f>"1/50"</f>
        <v>1/50</v>
      </c>
      <c r="E17" s="6">
        <v>4</v>
      </c>
      <c r="F17" s="6" t="s">
        <v>1605</v>
      </c>
      <c r="G17" s="6" t="s">
        <v>1606</v>
      </c>
      <c r="H17" t="s">
        <v>51</v>
      </c>
      <c r="I17" s="1" t="s">
        <v>730</v>
      </c>
      <c r="J17" s="6"/>
    </row>
    <row r="18" spans="1:10" x14ac:dyDescent="0.2">
      <c r="A18" s="1" t="s">
        <v>2710</v>
      </c>
      <c r="B18" s="6">
        <v>14.3</v>
      </c>
      <c r="C18" s="6" t="s">
        <v>7</v>
      </c>
      <c r="D18" s="6" t="str">
        <f>"2/137"</f>
        <v>2/137</v>
      </c>
      <c r="E18" s="6">
        <v>1.5</v>
      </c>
      <c r="F18" s="6" t="s">
        <v>2711</v>
      </c>
      <c r="G18" s="6" t="s">
        <v>2712</v>
      </c>
      <c r="H18" t="s">
        <v>27</v>
      </c>
      <c r="I18" s="1" t="s">
        <v>763</v>
      </c>
      <c r="J18" s="6"/>
    </row>
    <row r="19" spans="1:10" x14ac:dyDescent="0.2">
      <c r="A19" s="1" t="s">
        <v>1545</v>
      </c>
      <c r="B19" s="6">
        <v>14</v>
      </c>
      <c r="C19" s="6" t="s">
        <v>7</v>
      </c>
      <c r="D19" s="6" t="str">
        <f>"2/136"</f>
        <v>2/136</v>
      </c>
      <c r="E19" s="6">
        <v>4</v>
      </c>
      <c r="F19" s="6" t="s">
        <v>1546</v>
      </c>
      <c r="G19" s="6" t="s">
        <v>1547</v>
      </c>
      <c r="H19" t="s">
        <v>15</v>
      </c>
      <c r="I19" s="1" t="s">
        <v>77</v>
      </c>
      <c r="J19" s="6"/>
    </row>
    <row r="20" spans="1:10" x14ac:dyDescent="0.2">
      <c r="A20" s="1" t="s">
        <v>1186</v>
      </c>
      <c r="B20" s="6">
        <v>13.6</v>
      </c>
      <c r="C20" s="6" t="s">
        <v>7</v>
      </c>
      <c r="D20" s="6" t="str">
        <f>"10/275"</f>
        <v>10/275</v>
      </c>
      <c r="E20" s="6">
        <v>2.7</v>
      </c>
      <c r="F20" s="6" t="s">
        <v>1187</v>
      </c>
      <c r="G20" s="6" t="s">
        <v>1188</v>
      </c>
      <c r="H20" t="s">
        <v>102</v>
      </c>
      <c r="I20" s="1" t="s">
        <v>103</v>
      </c>
      <c r="J20" s="6"/>
    </row>
    <row r="21" spans="1:10" ht="28.5" x14ac:dyDescent="0.2">
      <c r="A21" s="1" t="s">
        <v>2743</v>
      </c>
      <c r="B21" s="6">
        <v>13.4</v>
      </c>
      <c r="C21" s="6" t="s">
        <v>7</v>
      </c>
      <c r="D21" s="6" t="str">
        <f>"1/65"</f>
        <v>1/65</v>
      </c>
      <c r="E21" s="6">
        <v>2.2000000000000002</v>
      </c>
      <c r="F21" s="6" t="s">
        <v>60</v>
      </c>
      <c r="G21" s="6" t="s">
        <v>2744</v>
      </c>
      <c r="H21" t="s">
        <v>27</v>
      </c>
      <c r="I21" s="1" t="s">
        <v>2745</v>
      </c>
      <c r="J21" s="6"/>
    </row>
    <row r="22" spans="1:10" x14ac:dyDescent="0.2">
      <c r="A22" s="1" t="s">
        <v>2134</v>
      </c>
      <c r="B22" s="6">
        <v>13.3</v>
      </c>
      <c r="C22" s="6" t="s">
        <v>7</v>
      </c>
      <c r="D22" s="6" t="str">
        <f>"6/142"</f>
        <v>6/142</v>
      </c>
      <c r="E22" s="6">
        <v>6.2</v>
      </c>
      <c r="F22" s="6" t="s">
        <v>2135</v>
      </c>
      <c r="G22" s="6" t="s">
        <v>2136</v>
      </c>
      <c r="H22" t="s">
        <v>51</v>
      </c>
      <c r="I22" s="1" t="s">
        <v>52</v>
      </c>
      <c r="J22" s="6"/>
    </row>
    <row r="23" spans="1:10" x14ac:dyDescent="0.2">
      <c r="A23" s="1" t="s">
        <v>2340</v>
      </c>
      <c r="B23" s="6">
        <v>12.8</v>
      </c>
      <c r="C23" s="6" t="s">
        <v>7</v>
      </c>
      <c r="D23" s="6" t="str">
        <f>"2/90"</f>
        <v>2/90</v>
      </c>
      <c r="E23" s="6">
        <v>2.6</v>
      </c>
      <c r="F23" s="6" t="s">
        <v>2341</v>
      </c>
      <c r="G23" s="6" t="s">
        <v>2342</v>
      </c>
      <c r="H23" t="s">
        <v>51</v>
      </c>
      <c r="I23" s="1" t="s">
        <v>103</v>
      </c>
      <c r="J23" s="6"/>
    </row>
    <row r="24" spans="1:10" x14ac:dyDescent="0.2">
      <c r="A24" s="1" t="s">
        <v>165</v>
      </c>
      <c r="B24" s="6">
        <v>12.5</v>
      </c>
      <c r="C24" s="6" t="s">
        <v>7</v>
      </c>
      <c r="D24" s="6" t="str">
        <f>"1/86"</f>
        <v>1/86</v>
      </c>
      <c r="E24" s="6">
        <v>3.3</v>
      </c>
      <c r="F24" s="6" t="s">
        <v>166</v>
      </c>
      <c r="G24" s="6" t="s">
        <v>167</v>
      </c>
      <c r="H24" t="s">
        <v>102</v>
      </c>
      <c r="I24" s="1" t="s">
        <v>103</v>
      </c>
      <c r="J24" s="6"/>
    </row>
    <row r="25" spans="1:10" ht="28.5" x14ac:dyDescent="0.2">
      <c r="A25" s="1" t="s">
        <v>1940</v>
      </c>
      <c r="B25" s="6">
        <v>12.3</v>
      </c>
      <c r="C25" s="6" t="s">
        <v>7</v>
      </c>
      <c r="D25" s="6" t="str">
        <f>"2/65"</f>
        <v>2/65</v>
      </c>
      <c r="E25" s="6">
        <v>5.7</v>
      </c>
      <c r="F25" s="6" t="s">
        <v>1941</v>
      </c>
      <c r="G25" s="6" t="s">
        <v>1942</v>
      </c>
      <c r="H25" t="s">
        <v>27</v>
      </c>
      <c r="I25" s="1" t="s">
        <v>512</v>
      </c>
      <c r="J25" s="6"/>
    </row>
    <row r="26" spans="1:10" x14ac:dyDescent="0.2">
      <c r="A26" s="1" t="s">
        <v>1121</v>
      </c>
      <c r="B26" s="6">
        <v>12.1</v>
      </c>
      <c r="C26" s="6" t="s">
        <v>7</v>
      </c>
      <c r="D26" s="6" t="str">
        <f>"2/86"</f>
        <v>2/86</v>
      </c>
      <c r="E26" s="6">
        <v>3.5</v>
      </c>
      <c r="F26" s="6" t="s">
        <v>1122</v>
      </c>
      <c r="G26" s="6" t="s">
        <v>1123</v>
      </c>
      <c r="H26" t="s">
        <v>15</v>
      </c>
      <c r="I26" s="1" t="s">
        <v>77</v>
      </c>
      <c r="J26" s="6"/>
    </row>
    <row r="27" spans="1:10" x14ac:dyDescent="0.2">
      <c r="A27" s="1" t="s">
        <v>1481</v>
      </c>
      <c r="B27" s="6">
        <v>12</v>
      </c>
      <c r="C27" s="6" t="s">
        <v>7</v>
      </c>
      <c r="D27" s="6" t="str">
        <f>"3/86"</f>
        <v>3/86</v>
      </c>
      <c r="E27" s="6">
        <v>2.2000000000000002</v>
      </c>
      <c r="F27" s="6" t="s">
        <v>1482</v>
      </c>
      <c r="G27" s="6" t="s">
        <v>1483</v>
      </c>
      <c r="H27" t="s">
        <v>102</v>
      </c>
      <c r="I27" s="1" t="s">
        <v>103</v>
      </c>
      <c r="J27" s="6"/>
    </row>
    <row r="28" spans="1:10" ht="28.5" x14ac:dyDescent="0.2">
      <c r="A28" s="1" t="s">
        <v>1952</v>
      </c>
      <c r="B28" s="6">
        <v>11.9</v>
      </c>
      <c r="C28" s="6" t="s">
        <v>7</v>
      </c>
      <c r="D28" s="6" t="str">
        <f>"8/275"</f>
        <v>8/275</v>
      </c>
      <c r="E28" s="6">
        <v>6.1</v>
      </c>
      <c r="F28" s="6" t="s">
        <v>1953</v>
      </c>
      <c r="G28" s="6" t="s">
        <v>1954</v>
      </c>
      <c r="H28" t="s">
        <v>27</v>
      </c>
      <c r="I28" s="1" t="s">
        <v>512</v>
      </c>
      <c r="J28" s="6"/>
    </row>
    <row r="29" spans="1:10" x14ac:dyDescent="0.2">
      <c r="A29" s="1" t="s">
        <v>2277</v>
      </c>
      <c r="B29" s="6">
        <v>11.9</v>
      </c>
      <c r="C29" s="6" t="s">
        <v>7</v>
      </c>
      <c r="D29" s="6" t="str">
        <f>"1/40"</f>
        <v>1/40</v>
      </c>
      <c r="E29" s="6">
        <v>2.9</v>
      </c>
      <c r="F29" s="6" t="s">
        <v>2278</v>
      </c>
      <c r="G29" s="6" t="s">
        <v>2278</v>
      </c>
      <c r="H29" t="s">
        <v>102</v>
      </c>
      <c r="I29" s="1" t="s">
        <v>103</v>
      </c>
      <c r="J29" s="6"/>
    </row>
    <row r="30" spans="1:10" ht="28.5" x14ac:dyDescent="0.2">
      <c r="A30" s="1" t="s">
        <v>1849</v>
      </c>
      <c r="B30" s="6">
        <v>11.8</v>
      </c>
      <c r="C30" s="6" t="s">
        <v>7</v>
      </c>
      <c r="D30" s="6" t="str">
        <f>"3/65"</f>
        <v>3/65</v>
      </c>
      <c r="E30" s="6">
        <v>5.4</v>
      </c>
      <c r="F30" s="6" t="s">
        <v>1850</v>
      </c>
      <c r="G30" s="6" t="s">
        <v>1851</v>
      </c>
      <c r="H30" t="s">
        <v>51</v>
      </c>
      <c r="I30" s="1" t="s">
        <v>512</v>
      </c>
      <c r="J30" s="6"/>
    </row>
    <row r="31" spans="1:10" x14ac:dyDescent="0.2">
      <c r="A31" s="1" t="s">
        <v>182</v>
      </c>
      <c r="B31" s="6">
        <v>11.7</v>
      </c>
      <c r="C31" s="6" t="s">
        <v>7</v>
      </c>
      <c r="D31" s="6" t="str">
        <f>"1/68"</f>
        <v>1/68</v>
      </c>
      <c r="E31" s="6">
        <v>3.3</v>
      </c>
      <c r="F31" s="6" t="s">
        <v>183</v>
      </c>
      <c r="G31" s="6" t="s">
        <v>184</v>
      </c>
      <c r="H31" t="s">
        <v>102</v>
      </c>
      <c r="I31" s="1" t="s">
        <v>103</v>
      </c>
      <c r="J31" s="6"/>
    </row>
    <row r="32" spans="1:10" x14ac:dyDescent="0.2">
      <c r="A32" s="1" t="s">
        <v>411</v>
      </c>
      <c r="B32" s="6">
        <v>11.7</v>
      </c>
      <c r="C32" s="6" t="s">
        <v>7</v>
      </c>
      <c r="D32" s="6" t="str">
        <f>"1/19"</f>
        <v>1/19</v>
      </c>
      <c r="E32" s="6">
        <v>1.4</v>
      </c>
      <c r="F32" s="6" t="s">
        <v>412</v>
      </c>
      <c r="G32" s="6" t="s">
        <v>413</v>
      </c>
      <c r="H32" t="s">
        <v>15</v>
      </c>
      <c r="I32" s="1" t="s">
        <v>40</v>
      </c>
      <c r="J32" s="6"/>
    </row>
    <row r="33" spans="1:10" x14ac:dyDescent="0.2">
      <c r="A33" s="1" t="s">
        <v>2728</v>
      </c>
      <c r="B33" s="6">
        <v>11.2</v>
      </c>
      <c r="C33" s="6" t="s">
        <v>7</v>
      </c>
      <c r="D33" s="6" t="str">
        <f>"9/142"</f>
        <v>9/142</v>
      </c>
      <c r="E33" s="6">
        <v>2.6</v>
      </c>
      <c r="F33" s="6" t="s">
        <v>2729</v>
      </c>
      <c r="G33" s="6" t="s">
        <v>2730</v>
      </c>
      <c r="H33" t="s">
        <v>15</v>
      </c>
      <c r="I33" s="1" t="s">
        <v>77</v>
      </c>
      <c r="J33" s="6"/>
    </row>
    <row r="34" spans="1:10" x14ac:dyDescent="0.2">
      <c r="A34" s="1" t="s">
        <v>1327</v>
      </c>
      <c r="B34" s="6">
        <v>11.1</v>
      </c>
      <c r="C34" s="6" t="s">
        <v>7</v>
      </c>
      <c r="D34" s="6" t="str">
        <f>"22/275"</f>
        <v>22/275</v>
      </c>
      <c r="E34" s="6">
        <v>2.5</v>
      </c>
      <c r="F34" s="6" t="s">
        <v>1328</v>
      </c>
      <c r="G34" s="6" t="s">
        <v>1329</v>
      </c>
      <c r="H34" t="s">
        <v>27</v>
      </c>
      <c r="I34" s="1" t="s">
        <v>77</v>
      </c>
      <c r="J34" s="6"/>
    </row>
    <row r="35" spans="1:10" x14ac:dyDescent="0.2">
      <c r="A35" s="1" t="s">
        <v>401</v>
      </c>
      <c r="B35" s="6">
        <v>11</v>
      </c>
      <c r="C35" s="6" t="s">
        <v>7</v>
      </c>
      <c r="D35" s="6" t="str">
        <f>"12/275"</f>
        <v>12/275</v>
      </c>
      <c r="E35" s="6">
        <v>1.6</v>
      </c>
      <c r="F35" s="6" t="s">
        <v>402</v>
      </c>
      <c r="G35" s="6" t="s">
        <v>403</v>
      </c>
      <c r="H35" t="s">
        <v>51</v>
      </c>
      <c r="I35" s="1" t="s">
        <v>404</v>
      </c>
      <c r="J35" s="6"/>
    </row>
    <row r="36" spans="1:10" x14ac:dyDescent="0.2">
      <c r="A36" s="1" t="s">
        <v>2828</v>
      </c>
      <c r="B36" s="6">
        <v>11</v>
      </c>
      <c r="C36" s="6" t="s">
        <v>7</v>
      </c>
      <c r="D36" s="6" t="str">
        <f>"5/50"</f>
        <v>5/50</v>
      </c>
      <c r="E36" s="6">
        <v>2.4</v>
      </c>
      <c r="F36" s="6" t="s">
        <v>2829</v>
      </c>
      <c r="G36" s="6" t="s">
        <v>2830</v>
      </c>
      <c r="H36" t="s">
        <v>102</v>
      </c>
      <c r="I36" s="1" t="s">
        <v>103</v>
      </c>
      <c r="J36" s="6"/>
    </row>
    <row r="37" spans="1:10" x14ac:dyDescent="0.2">
      <c r="A37" s="1" t="s">
        <v>41</v>
      </c>
      <c r="B37" s="6">
        <v>10.6</v>
      </c>
      <c r="C37" s="6" t="s">
        <v>7</v>
      </c>
      <c r="D37" s="6" t="str">
        <f>"6/50"</f>
        <v>6/50</v>
      </c>
      <c r="E37" s="6">
        <v>3.7</v>
      </c>
      <c r="F37" s="6" t="s">
        <v>42</v>
      </c>
      <c r="G37" s="6" t="s">
        <v>43</v>
      </c>
      <c r="H37" t="s">
        <v>15</v>
      </c>
      <c r="I37" s="1" t="s">
        <v>44</v>
      </c>
      <c r="J37" s="6"/>
    </row>
    <row r="38" spans="1:10" ht="28.5" x14ac:dyDescent="0.2">
      <c r="A38" s="1" t="s">
        <v>88</v>
      </c>
      <c r="B38" s="6">
        <v>10.6</v>
      </c>
      <c r="C38" s="6" t="s">
        <v>7</v>
      </c>
      <c r="D38" s="6" t="str">
        <f>"1/139"</f>
        <v>1/139</v>
      </c>
      <c r="E38" s="6">
        <v>2.1</v>
      </c>
      <c r="F38" s="6" t="s">
        <v>89</v>
      </c>
      <c r="G38" s="6" t="s">
        <v>90</v>
      </c>
      <c r="H38" t="s">
        <v>15</v>
      </c>
      <c r="I38" s="1" t="s">
        <v>40</v>
      </c>
      <c r="J38" s="6"/>
    </row>
    <row r="39" spans="1:10" ht="28.5" x14ac:dyDescent="0.2">
      <c r="A39" s="1" t="s">
        <v>1946</v>
      </c>
      <c r="B39" s="6">
        <v>10.6</v>
      </c>
      <c r="C39" s="6" t="s">
        <v>7</v>
      </c>
      <c r="D39" s="6" t="str">
        <f>"13/275"</f>
        <v>13/275</v>
      </c>
      <c r="E39" s="6">
        <v>1.6</v>
      </c>
      <c r="F39" s="6" t="s">
        <v>1947</v>
      </c>
      <c r="G39" s="6" t="s">
        <v>1948</v>
      </c>
      <c r="H39" t="s">
        <v>27</v>
      </c>
      <c r="I39" s="1" t="s">
        <v>512</v>
      </c>
      <c r="J39" s="6"/>
    </row>
    <row r="40" spans="1:10" x14ac:dyDescent="0.2">
      <c r="A40" s="1" t="s">
        <v>329</v>
      </c>
      <c r="B40" s="6">
        <v>10.4</v>
      </c>
      <c r="C40" s="6" t="s">
        <v>7</v>
      </c>
      <c r="D40" s="6" t="str">
        <f>"7/110"</f>
        <v>7/110</v>
      </c>
      <c r="E40" s="6">
        <v>1.6</v>
      </c>
      <c r="F40" s="6" t="s">
        <v>330</v>
      </c>
      <c r="G40" s="6" t="s">
        <v>331</v>
      </c>
      <c r="H40" t="s">
        <v>15</v>
      </c>
      <c r="I40" s="1" t="s">
        <v>40</v>
      </c>
      <c r="J40" s="6"/>
    </row>
    <row r="41" spans="1:10" x14ac:dyDescent="0.2">
      <c r="A41" s="1" t="s">
        <v>2367</v>
      </c>
      <c r="B41" s="6">
        <v>10.4</v>
      </c>
      <c r="C41" s="6" t="s">
        <v>7</v>
      </c>
      <c r="D41" s="6" t="str">
        <f>"3/137"</f>
        <v>3/137</v>
      </c>
      <c r="E41" s="6">
        <v>2.4</v>
      </c>
      <c r="F41" s="6" t="s">
        <v>2368</v>
      </c>
      <c r="G41" s="6" t="s">
        <v>2369</v>
      </c>
      <c r="H41" t="s">
        <v>15</v>
      </c>
      <c r="I41" s="1" t="s">
        <v>40</v>
      </c>
      <c r="J41" s="6"/>
    </row>
    <row r="42" spans="1:10" x14ac:dyDescent="0.2">
      <c r="A42" s="1" t="s">
        <v>2642</v>
      </c>
      <c r="B42" s="6">
        <v>10.3</v>
      </c>
      <c r="C42" s="6" t="s">
        <v>7</v>
      </c>
      <c r="D42" s="6" t="str">
        <f>"2/139"</f>
        <v>2/139</v>
      </c>
      <c r="E42" s="6">
        <v>1.7</v>
      </c>
      <c r="F42" s="6" t="s">
        <v>2643</v>
      </c>
      <c r="G42" s="6" t="s">
        <v>2644</v>
      </c>
      <c r="H42" t="s">
        <v>102</v>
      </c>
      <c r="I42" s="1" t="s">
        <v>103</v>
      </c>
      <c r="J42" s="6"/>
    </row>
    <row r="43" spans="1:10" x14ac:dyDescent="0.2">
      <c r="A43" s="1" t="s">
        <v>1494</v>
      </c>
      <c r="B43" s="6">
        <v>9.8000000000000007</v>
      </c>
      <c r="C43" s="6" t="s">
        <v>7</v>
      </c>
      <c r="D43" s="6" t="str">
        <f>"3/136"</f>
        <v>3/136</v>
      </c>
      <c r="E43" s="6">
        <v>2.9</v>
      </c>
      <c r="F43" s="6" t="s">
        <v>1495</v>
      </c>
      <c r="G43" s="6" t="s">
        <v>1496</v>
      </c>
      <c r="H43" t="s">
        <v>15</v>
      </c>
      <c r="I43" s="1" t="s">
        <v>40</v>
      </c>
      <c r="J43" s="6"/>
    </row>
    <row r="44" spans="1:10" x14ac:dyDescent="0.2">
      <c r="A44" s="1" t="s">
        <v>2686</v>
      </c>
      <c r="B44" s="6">
        <v>9.6999999999999993</v>
      </c>
      <c r="C44" s="6" t="s">
        <v>7</v>
      </c>
      <c r="D44" s="6" t="str">
        <f>"1/107"</f>
        <v>1/107</v>
      </c>
      <c r="E44" s="6">
        <v>1.8</v>
      </c>
      <c r="F44" s="6" t="s">
        <v>2687</v>
      </c>
      <c r="G44" s="6" t="s">
        <v>2688</v>
      </c>
      <c r="H44" t="s">
        <v>102</v>
      </c>
      <c r="I44" s="1" t="s">
        <v>133</v>
      </c>
      <c r="J44" s="6"/>
    </row>
    <row r="45" spans="1:10" x14ac:dyDescent="0.2">
      <c r="A45" s="1" t="s">
        <v>431</v>
      </c>
      <c r="B45" s="6">
        <v>9.6</v>
      </c>
      <c r="C45" s="6" t="s">
        <v>7</v>
      </c>
      <c r="D45" s="6" t="str">
        <f>"1/34"</f>
        <v>1/34</v>
      </c>
      <c r="E45" s="6">
        <v>2.9</v>
      </c>
      <c r="F45" s="6" t="s">
        <v>432</v>
      </c>
      <c r="G45" s="6" t="s">
        <v>433</v>
      </c>
      <c r="H45" t="s">
        <v>27</v>
      </c>
      <c r="I45" s="1" t="s">
        <v>40</v>
      </c>
      <c r="J45" s="6"/>
    </row>
    <row r="46" spans="1:10" ht="28.5" x14ac:dyDescent="0.2">
      <c r="A46" s="1" t="s">
        <v>1881</v>
      </c>
      <c r="B46" s="6">
        <v>9.6</v>
      </c>
      <c r="C46" s="6" t="s">
        <v>7</v>
      </c>
      <c r="D46" s="6" t="str">
        <f>"18/275"</f>
        <v>18/275</v>
      </c>
      <c r="E46" s="6">
        <v>2.1</v>
      </c>
      <c r="F46" s="6" t="s">
        <v>1882</v>
      </c>
      <c r="G46" s="6" t="s">
        <v>1883</v>
      </c>
      <c r="H46" t="s">
        <v>27</v>
      </c>
      <c r="I46" s="1" t="s">
        <v>512</v>
      </c>
      <c r="J46" s="6"/>
    </row>
    <row r="47" spans="1:10" x14ac:dyDescent="0.2">
      <c r="A47" s="1" t="s">
        <v>2478</v>
      </c>
      <c r="B47" s="6">
        <v>9.6</v>
      </c>
      <c r="C47" s="6" t="s">
        <v>7</v>
      </c>
      <c r="D47" s="6" t="str">
        <f>"3/139"</f>
        <v>3/139</v>
      </c>
      <c r="E47" s="6">
        <v>1.3</v>
      </c>
      <c r="F47" s="6" t="s">
        <v>2479</v>
      </c>
      <c r="G47" s="6" t="s">
        <v>2480</v>
      </c>
      <c r="H47" t="s">
        <v>27</v>
      </c>
      <c r="I47" s="1" t="s">
        <v>16</v>
      </c>
      <c r="J47" s="6"/>
    </row>
    <row r="48" spans="1:10" x14ac:dyDescent="0.2">
      <c r="A48" s="1" t="s">
        <v>1250</v>
      </c>
      <c r="B48" s="6">
        <v>9.4</v>
      </c>
      <c r="C48" s="6" t="s">
        <v>7</v>
      </c>
      <c r="D48" s="6" t="str">
        <f>"19/119"</f>
        <v>19/119</v>
      </c>
      <c r="E48" s="6">
        <v>2.5</v>
      </c>
      <c r="F48" s="6" t="s">
        <v>1251</v>
      </c>
      <c r="G48" s="6" t="s">
        <v>1252</v>
      </c>
      <c r="H48" t="s">
        <v>102</v>
      </c>
      <c r="I48" s="1" t="s">
        <v>103</v>
      </c>
      <c r="J48" s="6"/>
    </row>
    <row r="49" spans="1:10" x14ac:dyDescent="0.2">
      <c r="A49" s="1" t="s">
        <v>2740</v>
      </c>
      <c r="B49" s="6">
        <v>9.4</v>
      </c>
      <c r="C49" s="6" t="s">
        <v>7</v>
      </c>
      <c r="D49" s="6" t="str">
        <f>"5/65"</f>
        <v>5/65</v>
      </c>
      <c r="E49" s="6">
        <v>1.2</v>
      </c>
      <c r="F49" s="6" t="s">
        <v>2741</v>
      </c>
      <c r="G49" s="6" t="s">
        <v>2742</v>
      </c>
      <c r="H49" t="s">
        <v>27</v>
      </c>
      <c r="I49" s="1" t="s">
        <v>40</v>
      </c>
      <c r="J49" s="6"/>
    </row>
    <row r="50" spans="1:10" x14ac:dyDescent="0.2">
      <c r="A50" s="1" t="s">
        <v>1462</v>
      </c>
      <c r="B50" s="6">
        <v>9.1999999999999993</v>
      </c>
      <c r="C50" s="6" t="s">
        <v>7</v>
      </c>
      <c r="D50" s="6" t="str">
        <f>"4/30"</f>
        <v>4/30</v>
      </c>
      <c r="E50" s="6">
        <v>2.1</v>
      </c>
      <c r="F50" s="6" t="s">
        <v>1463</v>
      </c>
      <c r="G50" s="6" t="s">
        <v>1464</v>
      </c>
      <c r="H50" t="s">
        <v>15</v>
      </c>
      <c r="I50" s="1" t="s">
        <v>36</v>
      </c>
      <c r="J50" s="6"/>
    </row>
    <row r="51" spans="1:10" x14ac:dyDescent="0.2">
      <c r="A51" s="1" t="s">
        <v>1478</v>
      </c>
      <c r="B51" s="6">
        <v>9.1999999999999993</v>
      </c>
      <c r="C51" s="6" t="s">
        <v>7</v>
      </c>
      <c r="D51" s="6" t="str">
        <f>"5/86"</f>
        <v>5/86</v>
      </c>
      <c r="E51" s="6">
        <v>1.4</v>
      </c>
      <c r="F51" s="6" t="s">
        <v>1479</v>
      </c>
      <c r="G51" s="6" t="s">
        <v>1480</v>
      </c>
      <c r="H51" t="s">
        <v>15</v>
      </c>
      <c r="I51" s="1" t="s">
        <v>44</v>
      </c>
      <c r="J51" s="6"/>
    </row>
    <row r="52" spans="1:10" x14ac:dyDescent="0.2">
      <c r="A52" s="1" t="s">
        <v>1925</v>
      </c>
      <c r="B52" s="6">
        <v>8.9</v>
      </c>
      <c r="C52" s="6" t="s">
        <v>7</v>
      </c>
      <c r="D52" s="6" t="str">
        <f>"9/158"</f>
        <v>9/158</v>
      </c>
      <c r="E52" s="6">
        <v>6</v>
      </c>
      <c r="F52" s="6" t="s">
        <v>1926</v>
      </c>
      <c r="G52" s="6" t="s">
        <v>1927</v>
      </c>
      <c r="H52" t="s">
        <v>27</v>
      </c>
      <c r="I52" s="1" t="s">
        <v>1913</v>
      </c>
      <c r="J52" s="6"/>
    </row>
    <row r="53" spans="1:10" x14ac:dyDescent="0.2">
      <c r="A53" s="1" t="s">
        <v>2377</v>
      </c>
      <c r="B53" s="6">
        <v>8.9</v>
      </c>
      <c r="C53" s="6" t="s">
        <v>7</v>
      </c>
      <c r="D53" s="6" t="str">
        <f>"3/63"</f>
        <v>3/63</v>
      </c>
      <c r="E53" s="6">
        <v>2.4</v>
      </c>
      <c r="F53" s="6" t="s">
        <v>2378</v>
      </c>
      <c r="G53" s="6" t="s">
        <v>2379</v>
      </c>
      <c r="H53" t="s">
        <v>15</v>
      </c>
      <c r="I53" s="1" t="s">
        <v>40</v>
      </c>
      <c r="J53" s="6"/>
    </row>
    <row r="54" spans="1:10" ht="28.5" x14ac:dyDescent="0.2">
      <c r="A54" s="1" t="s">
        <v>1878</v>
      </c>
      <c r="B54" s="6">
        <v>8.8000000000000007</v>
      </c>
      <c r="C54" s="6" t="s">
        <v>7</v>
      </c>
      <c r="D54" s="6" t="str">
        <f>"21/275"</f>
        <v>21/275</v>
      </c>
      <c r="E54" s="6">
        <v>2.5</v>
      </c>
      <c r="F54" s="6" t="s">
        <v>1879</v>
      </c>
      <c r="G54" s="6" t="s">
        <v>1880</v>
      </c>
      <c r="H54" t="s">
        <v>27</v>
      </c>
      <c r="I54" s="1" t="s">
        <v>512</v>
      </c>
      <c r="J54" s="6"/>
    </row>
    <row r="55" spans="1:10" x14ac:dyDescent="0.2">
      <c r="A55" s="1" t="s">
        <v>2825</v>
      </c>
      <c r="B55" s="6">
        <v>8.8000000000000007</v>
      </c>
      <c r="C55" s="6" t="s">
        <v>7</v>
      </c>
      <c r="D55" s="6" t="str">
        <f>"4/90"</f>
        <v>4/90</v>
      </c>
      <c r="E55" s="6">
        <v>1.7</v>
      </c>
      <c r="F55" s="6" t="s">
        <v>2826</v>
      </c>
      <c r="G55" s="6" t="s">
        <v>2827</v>
      </c>
      <c r="H55" t="s">
        <v>15</v>
      </c>
      <c r="I55" s="1" t="s">
        <v>77</v>
      </c>
      <c r="J55" s="6"/>
    </row>
    <row r="56" spans="1:10" x14ac:dyDescent="0.2">
      <c r="A56" s="1" t="s">
        <v>362</v>
      </c>
      <c r="B56" s="6">
        <v>8.6999999999999993</v>
      </c>
      <c r="C56" s="6" t="s">
        <v>7</v>
      </c>
      <c r="D56" s="6" t="str">
        <f>"26/119"</f>
        <v>26/119</v>
      </c>
      <c r="E56" s="6">
        <v>3</v>
      </c>
      <c r="F56" s="6" t="s">
        <v>363</v>
      </c>
      <c r="G56" s="6" t="s">
        <v>364</v>
      </c>
      <c r="H56" t="s">
        <v>15</v>
      </c>
      <c r="I56" s="1" t="s">
        <v>40</v>
      </c>
      <c r="J56" s="6"/>
    </row>
    <row r="57" spans="1:10" ht="28.5" x14ac:dyDescent="0.2">
      <c r="A57" s="1" t="s">
        <v>1875</v>
      </c>
      <c r="B57" s="6">
        <v>8.6999999999999993</v>
      </c>
      <c r="C57" s="6" t="s">
        <v>7</v>
      </c>
      <c r="D57" s="6" t="str">
        <f>"6/65"</f>
        <v>6/65</v>
      </c>
      <c r="E57" s="6">
        <v>2.8</v>
      </c>
      <c r="F57" s="6" t="s">
        <v>1876</v>
      </c>
      <c r="G57" s="6" t="s">
        <v>1877</v>
      </c>
      <c r="H57" t="s">
        <v>27</v>
      </c>
      <c r="I57" s="1" t="s">
        <v>512</v>
      </c>
      <c r="J57" s="6"/>
    </row>
    <row r="58" spans="1:10" ht="28.5" x14ac:dyDescent="0.2">
      <c r="A58" s="1" t="s">
        <v>1931</v>
      </c>
      <c r="B58" s="6">
        <v>8.5</v>
      </c>
      <c r="C58" s="6" t="s">
        <v>7</v>
      </c>
      <c r="D58" s="6" t="str">
        <f>"4/139"</f>
        <v>4/139</v>
      </c>
      <c r="E58" s="6">
        <v>2.1</v>
      </c>
      <c r="F58" s="6" t="s">
        <v>1932</v>
      </c>
      <c r="G58" s="6" t="s">
        <v>1933</v>
      </c>
      <c r="H58" t="s">
        <v>27</v>
      </c>
      <c r="I58" s="1" t="s">
        <v>512</v>
      </c>
      <c r="J58" s="6"/>
    </row>
    <row r="59" spans="1:10" x14ac:dyDescent="0.2">
      <c r="A59" s="1" t="s">
        <v>2231</v>
      </c>
      <c r="B59" s="6">
        <v>8.5</v>
      </c>
      <c r="C59" s="6" t="s">
        <v>7</v>
      </c>
      <c r="D59" s="6" t="str">
        <f>"6/86"</f>
        <v>6/86</v>
      </c>
      <c r="E59" s="6">
        <v>1.5</v>
      </c>
      <c r="F59" s="6" t="s">
        <v>2232</v>
      </c>
      <c r="G59" s="6" t="s">
        <v>2233</v>
      </c>
      <c r="H59" t="s">
        <v>27</v>
      </c>
      <c r="I59" s="1" t="s">
        <v>40</v>
      </c>
      <c r="J59" s="6"/>
    </row>
    <row r="60" spans="1:10" ht="28.5" x14ac:dyDescent="0.2">
      <c r="A60" s="1" t="s">
        <v>752</v>
      </c>
      <c r="B60" s="6">
        <v>8.4</v>
      </c>
      <c r="C60" s="6" t="s">
        <v>7</v>
      </c>
      <c r="D60" s="6" t="str">
        <f>"5/136"</f>
        <v>5/136</v>
      </c>
      <c r="E60" s="6">
        <v>1.9</v>
      </c>
      <c r="F60" s="6" t="s">
        <v>753</v>
      </c>
      <c r="G60" s="6" t="s">
        <v>754</v>
      </c>
      <c r="H60" t="s">
        <v>15</v>
      </c>
      <c r="I60" s="1" t="s">
        <v>755</v>
      </c>
      <c r="J60" s="6"/>
    </row>
    <row r="61" spans="1:10" ht="28.5" x14ac:dyDescent="0.2">
      <c r="A61" s="1" t="s">
        <v>1997</v>
      </c>
      <c r="B61" s="6">
        <v>8.4</v>
      </c>
      <c r="C61" s="6" t="s">
        <v>7</v>
      </c>
      <c r="D61" s="6" t="str">
        <f>"25/275"</f>
        <v>25/275</v>
      </c>
      <c r="E61" s="6">
        <v>3.2</v>
      </c>
      <c r="F61" s="6" t="s">
        <v>1998</v>
      </c>
      <c r="G61" s="6" t="s">
        <v>1999</v>
      </c>
      <c r="H61" t="s">
        <v>27</v>
      </c>
      <c r="I61" s="1" t="s">
        <v>512</v>
      </c>
      <c r="J61" s="6"/>
    </row>
    <row r="62" spans="1:10" x14ac:dyDescent="0.2">
      <c r="A62" s="1" t="s">
        <v>91</v>
      </c>
      <c r="B62" s="6">
        <v>8.3000000000000007</v>
      </c>
      <c r="C62" s="6" t="s">
        <v>7</v>
      </c>
      <c r="D62" s="6" t="str">
        <f>"5/40"</f>
        <v>5/40</v>
      </c>
      <c r="E62" s="6">
        <v>1.5</v>
      </c>
      <c r="F62" s="6" t="s">
        <v>92</v>
      </c>
      <c r="G62" s="6" t="s">
        <v>93</v>
      </c>
      <c r="H62" t="s">
        <v>15</v>
      </c>
      <c r="I62" s="1" t="s">
        <v>40</v>
      </c>
      <c r="J62" s="6"/>
    </row>
    <row r="63" spans="1:10" x14ac:dyDescent="0.2">
      <c r="A63" s="1" t="s">
        <v>434</v>
      </c>
      <c r="B63" s="6">
        <v>8.3000000000000007</v>
      </c>
      <c r="C63" s="6" t="s">
        <v>7</v>
      </c>
      <c r="D63" s="6" t="str">
        <f>"7/86"</f>
        <v>7/86</v>
      </c>
      <c r="E63" s="6">
        <v>1.1000000000000001</v>
      </c>
      <c r="F63" s="6" t="s">
        <v>435</v>
      </c>
      <c r="G63" s="6" t="s">
        <v>436</v>
      </c>
      <c r="H63" t="s">
        <v>15</v>
      </c>
      <c r="I63" s="1" t="s">
        <v>44</v>
      </c>
      <c r="J63" s="6"/>
    </row>
    <row r="64" spans="1:10" x14ac:dyDescent="0.2">
      <c r="A64" s="1" t="s">
        <v>1148</v>
      </c>
      <c r="B64" s="6">
        <v>8.3000000000000007</v>
      </c>
      <c r="C64" s="6" t="s">
        <v>7</v>
      </c>
      <c r="D64" s="6" t="str">
        <f>"23/145"</f>
        <v>23/145</v>
      </c>
      <c r="E64" s="6">
        <v>1.4</v>
      </c>
      <c r="F64" s="6" t="s">
        <v>1149</v>
      </c>
      <c r="G64" s="6" t="s">
        <v>1150</v>
      </c>
      <c r="H64" t="s">
        <v>102</v>
      </c>
      <c r="I64" s="1" t="s">
        <v>133</v>
      </c>
      <c r="J64" s="6"/>
    </row>
    <row r="65" spans="1:10" x14ac:dyDescent="0.2">
      <c r="A65" s="1" t="s">
        <v>1210</v>
      </c>
      <c r="B65" s="6">
        <v>8.3000000000000007</v>
      </c>
      <c r="C65" s="6" t="s">
        <v>7</v>
      </c>
      <c r="D65" s="6" t="str">
        <f>"5/30"</f>
        <v>5/30</v>
      </c>
      <c r="E65" s="6">
        <v>0.6</v>
      </c>
      <c r="F65" s="6" t="s">
        <v>1211</v>
      </c>
      <c r="G65" s="6" t="s">
        <v>1212</v>
      </c>
      <c r="H65" t="s">
        <v>27</v>
      </c>
      <c r="I65" s="1" t="s">
        <v>16</v>
      </c>
      <c r="J65" s="6"/>
    </row>
    <row r="66" spans="1:10" ht="28.5" x14ac:dyDescent="0.2">
      <c r="A66" s="1" t="s">
        <v>1928</v>
      </c>
      <c r="B66" s="6">
        <v>8.1999999999999993</v>
      </c>
      <c r="C66" s="6" t="s">
        <v>7</v>
      </c>
      <c r="D66" s="6" t="str">
        <f>"27/275"</f>
        <v>27/275</v>
      </c>
      <c r="E66" s="6">
        <v>4.8</v>
      </c>
      <c r="F66" s="6" t="s">
        <v>1929</v>
      </c>
      <c r="G66" s="6" t="s">
        <v>1930</v>
      </c>
      <c r="H66" t="s">
        <v>27</v>
      </c>
      <c r="I66" s="1" t="s">
        <v>512</v>
      </c>
      <c r="J66" s="6"/>
    </row>
    <row r="67" spans="1:10" x14ac:dyDescent="0.2">
      <c r="A67" s="1" t="s">
        <v>2348</v>
      </c>
      <c r="B67" s="6">
        <v>8.1999999999999993</v>
      </c>
      <c r="C67" s="6" t="s">
        <v>7</v>
      </c>
      <c r="D67" s="6" t="str">
        <f>"27/119"</f>
        <v>27/119</v>
      </c>
      <c r="E67" s="6">
        <v>1.6</v>
      </c>
      <c r="F67" s="6" t="s">
        <v>2349</v>
      </c>
      <c r="G67" s="6" t="s">
        <v>2350</v>
      </c>
      <c r="H67" t="s">
        <v>102</v>
      </c>
      <c r="I67" s="1" t="s">
        <v>103</v>
      </c>
      <c r="J67" s="6"/>
    </row>
    <row r="68" spans="1:10" x14ac:dyDescent="0.2">
      <c r="A68" s="1" t="s">
        <v>2442</v>
      </c>
      <c r="B68" s="6">
        <v>8.1999999999999993</v>
      </c>
      <c r="C68" s="6" t="s">
        <v>7</v>
      </c>
      <c r="D68" s="6" t="str">
        <f>"5/139"</f>
        <v>5/139</v>
      </c>
      <c r="E68" s="6">
        <v>1.1000000000000001</v>
      </c>
      <c r="F68" s="6" t="s">
        <v>60</v>
      </c>
      <c r="G68" s="6" t="s">
        <v>2443</v>
      </c>
      <c r="H68" t="s">
        <v>15</v>
      </c>
      <c r="I68" s="1" t="s">
        <v>103</v>
      </c>
      <c r="J68" s="6"/>
    </row>
    <row r="69" spans="1:10" x14ac:dyDescent="0.2">
      <c r="A69" s="1" t="s">
        <v>37</v>
      </c>
      <c r="B69" s="6">
        <v>8.1</v>
      </c>
      <c r="C69" s="6" t="s">
        <v>7</v>
      </c>
      <c r="D69" s="6" t="str">
        <f>"35/275"</f>
        <v>35/275</v>
      </c>
      <c r="E69" s="6">
        <v>1.8</v>
      </c>
      <c r="F69" s="6" t="s">
        <v>38</v>
      </c>
      <c r="G69" s="6" t="s">
        <v>39</v>
      </c>
      <c r="H69" t="s">
        <v>27</v>
      </c>
      <c r="I69" s="1" t="s">
        <v>40</v>
      </c>
      <c r="J69" s="6"/>
    </row>
    <row r="70" spans="1:10" x14ac:dyDescent="0.2">
      <c r="A70" s="1" t="s">
        <v>368</v>
      </c>
      <c r="B70" s="6">
        <v>8.1</v>
      </c>
      <c r="C70" s="6" t="s">
        <v>7</v>
      </c>
      <c r="D70" s="6" t="str">
        <f>"8/86"</f>
        <v>8/86</v>
      </c>
      <c r="E70" s="6">
        <v>2.8</v>
      </c>
      <c r="F70" s="6" t="s">
        <v>369</v>
      </c>
      <c r="G70" s="6" t="s">
        <v>370</v>
      </c>
      <c r="H70" t="s">
        <v>15</v>
      </c>
      <c r="I70" s="1" t="s">
        <v>77</v>
      </c>
      <c r="J70" s="6"/>
    </row>
    <row r="71" spans="1:10" ht="28.5" x14ac:dyDescent="0.2">
      <c r="A71" s="1" t="s">
        <v>1858</v>
      </c>
      <c r="B71" s="6">
        <v>8.1</v>
      </c>
      <c r="C71" s="6" t="s">
        <v>7</v>
      </c>
      <c r="D71" s="6" t="str">
        <f>"29/275"</f>
        <v>29/275</v>
      </c>
      <c r="E71" s="6">
        <v>1.6</v>
      </c>
      <c r="F71" s="6" t="s">
        <v>1859</v>
      </c>
      <c r="G71" s="6" t="s">
        <v>1860</v>
      </c>
      <c r="H71" t="s">
        <v>27</v>
      </c>
      <c r="I71" s="1" t="s">
        <v>512</v>
      </c>
      <c r="J71" s="6"/>
    </row>
    <row r="72" spans="1:10" x14ac:dyDescent="0.2">
      <c r="A72" s="1" t="s">
        <v>177</v>
      </c>
      <c r="B72" s="6">
        <v>8</v>
      </c>
      <c r="C72" s="6" t="s">
        <v>7</v>
      </c>
      <c r="D72" s="6" t="str">
        <f>"28/119"</f>
        <v>28/119</v>
      </c>
      <c r="E72" s="6">
        <v>3</v>
      </c>
      <c r="F72" s="6" t="s">
        <v>178</v>
      </c>
      <c r="G72" s="6" t="s">
        <v>179</v>
      </c>
      <c r="H72" t="s">
        <v>27</v>
      </c>
      <c r="I72" s="1" t="s">
        <v>103</v>
      </c>
      <c r="J72" s="6"/>
    </row>
    <row r="73" spans="1:10" x14ac:dyDescent="0.2">
      <c r="A73" s="1" t="s">
        <v>552</v>
      </c>
      <c r="B73" s="6">
        <v>8</v>
      </c>
      <c r="C73" s="6" t="s">
        <v>7</v>
      </c>
      <c r="D73" s="6" t="str">
        <f>"30/275"</f>
        <v>30/275</v>
      </c>
      <c r="E73" s="6">
        <v>1.3</v>
      </c>
      <c r="F73" s="6" t="s">
        <v>553</v>
      </c>
      <c r="G73" s="6" t="s">
        <v>554</v>
      </c>
      <c r="H73" t="s">
        <v>15</v>
      </c>
      <c r="I73" s="1" t="s">
        <v>77</v>
      </c>
      <c r="J73" s="6"/>
    </row>
    <row r="74" spans="1:10" x14ac:dyDescent="0.2">
      <c r="A74" s="1" t="s">
        <v>2334</v>
      </c>
      <c r="B74" s="6">
        <v>8</v>
      </c>
      <c r="C74" s="6" t="s">
        <v>7</v>
      </c>
      <c r="D74" s="6" t="str">
        <f>"5/90"</f>
        <v>5/90</v>
      </c>
      <c r="E74" s="6">
        <v>1.4</v>
      </c>
      <c r="F74" s="6" t="s">
        <v>2335</v>
      </c>
      <c r="G74" s="6" t="s">
        <v>2336</v>
      </c>
      <c r="H74" t="s">
        <v>15</v>
      </c>
      <c r="I74" s="1" t="s">
        <v>40</v>
      </c>
      <c r="J74" s="6"/>
    </row>
    <row r="75" spans="1:10" x14ac:dyDescent="0.2">
      <c r="A75" s="1" t="s">
        <v>255</v>
      </c>
      <c r="B75" s="6">
        <v>7.9</v>
      </c>
      <c r="C75" s="6" t="s">
        <v>7</v>
      </c>
      <c r="D75" s="6" t="str">
        <f>"6/30"</f>
        <v>6/30</v>
      </c>
      <c r="E75" s="6">
        <v>0.8</v>
      </c>
      <c r="F75" s="6" t="s">
        <v>256</v>
      </c>
      <c r="G75" s="6" t="s">
        <v>257</v>
      </c>
      <c r="H75" t="s">
        <v>27</v>
      </c>
      <c r="I75" s="1" t="s">
        <v>258</v>
      </c>
      <c r="J75" s="6"/>
    </row>
    <row r="76" spans="1:10" x14ac:dyDescent="0.2">
      <c r="A76" s="1" t="s">
        <v>536</v>
      </c>
      <c r="B76" s="6">
        <v>7.9</v>
      </c>
      <c r="C76" s="6" t="s">
        <v>7</v>
      </c>
      <c r="D76" s="6" t="str">
        <f>"2/63"</f>
        <v>2/63</v>
      </c>
      <c r="E76" s="6">
        <v>2.4</v>
      </c>
      <c r="F76" s="6" t="s">
        <v>537</v>
      </c>
      <c r="G76" s="6" t="s">
        <v>537</v>
      </c>
      <c r="H76" t="s">
        <v>102</v>
      </c>
      <c r="I76" s="1" t="s">
        <v>538</v>
      </c>
      <c r="J76" s="6"/>
    </row>
    <row r="77" spans="1:10" x14ac:dyDescent="0.2">
      <c r="A77" s="1" t="s">
        <v>704</v>
      </c>
      <c r="B77" s="6">
        <v>7.9</v>
      </c>
      <c r="C77" s="6" t="s">
        <v>7</v>
      </c>
      <c r="D77" s="6" t="str">
        <f>"2/63"</f>
        <v>2/63</v>
      </c>
      <c r="E77" s="6">
        <v>1.4</v>
      </c>
      <c r="F77" s="6" t="s">
        <v>705</v>
      </c>
      <c r="G77" s="6" t="s">
        <v>705</v>
      </c>
      <c r="H77" t="s">
        <v>51</v>
      </c>
      <c r="I77" s="1" t="s">
        <v>535</v>
      </c>
      <c r="J77" s="6"/>
    </row>
    <row r="78" spans="1:10" x14ac:dyDescent="0.2">
      <c r="A78" s="1" t="s">
        <v>2225</v>
      </c>
      <c r="B78" s="6">
        <v>7.9</v>
      </c>
      <c r="C78" s="6" t="s">
        <v>7</v>
      </c>
      <c r="D78" s="6" t="str">
        <f>"6/136"</f>
        <v>6/136</v>
      </c>
      <c r="E78" s="6">
        <v>3.8</v>
      </c>
      <c r="F78" s="6" t="s">
        <v>2226</v>
      </c>
      <c r="G78" s="6" t="s">
        <v>2227</v>
      </c>
      <c r="H78" t="s">
        <v>151</v>
      </c>
      <c r="I78" s="1" t="s">
        <v>2228</v>
      </c>
      <c r="J78" s="6"/>
    </row>
    <row r="79" spans="1:10" x14ac:dyDescent="0.2">
      <c r="A79" s="1" t="s">
        <v>2618</v>
      </c>
      <c r="B79" s="6">
        <v>7.9</v>
      </c>
      <c r="C79" s="6" t="s">
        <v>7</v>
      </c>
      <c r="D79" s="6" t="str">
        <f>"14/96"</f>
        <v>14/96</v>
      </c>
      <c r="E79" s="6">
        <v>1.3</v>
      </c>
      <c r="F79" s="6" t="s">
        <v>2619</v>
      </c>
      <c r="G79" s="6" t="s">
        <v>2620</v>
      </c>
      <c r="H79" t="s">
        <v>51</v>
      </c>
      <c r="I79" s="1" t="s">
        <v>361</v>
      </c>
      <c r="J79" s="6"/>
    </row>
    <row r="80" spans="1:10" x14ac:dyDescent="0.2">
      <c r="A80" s="1" t="s">
        <v>655</v>
      </c>
      <c r="B80" s="6">
        <v>7.8</v>
      </c>
      <c r="C80" s="6" t="s">
        <v>7</v>
      </c>
      <c r="D80" s="6" t="str">
        <f>"26/272"</f>
        <v>26/272</v>
      </c>
      <c r="E80" s="6">
        <v>0.5</v>
      </c>
      <c r="F80" s="6" t="s">
        <v>656</v>
      </c>
      <c r="G80" s="6" t="s">
        <v>657</v>
      </c>
      <c r="H80" t="s">
        <v>15</v>
      </c>
      <c r="I80" s="1" t="s">
        <v>69</v>
      </c>
      <c r="J80" s="6"/>
    </row>
    <row r="81" spans="1:10" ht="28.5" x14ac:dyDescent="0.2">
      <c r="A81" s="1" t="s">
        <v>1892</v>
      </c>
      <c r="B81" s="6">
        <v>7.8</v>
      </c>
      <c r="C81" s="6" t="s">
        <v>7</v>
      </c>
      <c r="D81" s="6" t="str">
        <f>"7/30"</f>
        <v>7/30</v>
      </c>
      <c r="E81" s="6">
        <v>1.3</v>
      </c>
      <c r="F81" s="6" t="s">
        <v>1893</v>
      </c>
      <c r="G81" s="6" t="s">
        <v>1894</v>
      </c>
      <c r="H81" t="s">
        <v>27</v>
      </c>
      <c r="I81" s="1" t="s">
        <v>512</v>
      </c>
      <c r="J81" s="6"/>
    </row>
    <row r="82" spans="1:10" x14ac:dyDescent="0.2">
      <c r="A82" s="1" t="s">
        <v>1218</v>
      </c>
      <c r="B82" s="6">
        <v>7.7</v>
      </c>
      <c r="C82" s="6" t="s">
        <v>7</v>
      </c>
      <c r="D82" s="6" t="str">
        <f>"16/142"</f>
        <v>16/142</v>
      </c>
      <c r="E82" s="6">
        <v>1.7</v>
      </c>
      <c r="F82" s="6" t="s">
        <v>1219</v>
      </c>
      <c r="G82" s="6" t="s">
        <v>1220</v>
      </c>
      <c r="H82" t="s">
        <v>15</v>
      </c>
      <c r="I82" s="1" t="s">
        <v>77</v>
      </c>
      <c r="J82" s="6"/>
    </row>
    <row r="83" spans="1:10" ht="28.5" x14ac:dyDescent="0.2">
      <c r="A83" s="1" t="s">
        <v>1943</v>
      </c>
      <c r="B83" s="6">
        <v>7.7</v>
      </c>
      <c r="C83" s="6" t="s">
        <v>7</v>
      </c>
      <c r="D83" s="6" t="str">
        <f>"4/63"</f>
        <v>4/63</v>
      </c>
      <c r="E83" s="6">
        <v>3.3</v>
      </c>
      <c r="F83" s="6" t="s">
        <v>1944</v>
      </c>
      <c r="G83" s="6" t="s">
        <v>1945</v>
      </c>
      <c r="H83" t="s">
        <v>27</v>
      </c>
      <c r="I83" s="1" t="s">
        <v>512</v>
      </c>
      <c r="J83" s="6"/>
    </row>
    <row r="84" spans="1:10" x14ac:dyDescent="0.2">
      <c r="A84" s="1" t="s">
        <v>1118</v>
      </c>
      <c r="B84" s="6">
        <v>7.6</v>
      </c>
      <c r="C84" s="6" t="s">
        <v>7</v>
      </c>
      <c r="D84" s="6" t="str">
        <f>"44/227"</f>
        <v>44/227</v>
      </c>
      <c r="E84" s="6">
        <v>0.9</v>
      </c>
      <c r="F84" s="6" t="s">
        <v>1119</v>
      </c>
      <c r="G84" s="6" t="s">
        <v>1120</v>
      </c>
      <c r="H84" t="s">
        <v>15</v>
      </c>
      <c r="I84" s="1" t="s">
        <v>248</v>
      </c>
      <c r="J84" s="6"/>
    </row>
    <row r="85" spans="1:10" x14ac:dyDescent="0.2">
      <c r="A85" s="1" t="s">
        <v>810</v>
      </c>
      <c r="B85" s="6">
        <v>7.5</v>
      </c>
      <c r="C85" s="6" t="s">
        <v>7</v>
      </c>
      <c r="D85" s="6" t="str">
        <f>"31/145"</f>
        <v>31/145</v>
      </c>
      <c r="E85" s="6">
        <v>0.5</v>
      </c>
      <c r="F85" s="6" t="s">
        <v>811</v>
      </c>
      <c r="G85" s="6" t="s">
        <v>812</v>
      </c>
      <c r="H85" t="s">
        <v>27</v>
      </c>
      <c r="I85" s="1" t="s">
        <v>133</v>
      </c>
      <c r="J85" s="6"/>
    </row>
    <row r="86" spans="1:10" ht="28.5" x14ac:dyDescent="0.2">
      <c r="A86" s="1" t="s">
        <v>2061</v>
      </c>
      <c r="B86" s="6">
        <v>7.5</v>
      </c>
      <c r="C86" s="6" t="s">
        <v>7</v>
      </c>
      <c r="D86" s="6" t="str">
        <f>"34/275"</f>
        <v>34/275</v>
      </c>
      <c r="E86" s="6">
        <v>2.7</v>
      </c>
      <c r="F86" s="6" t="s">
        <v>2062</v>
      </c>
      <c r="G86" s="6" t="s">
        <v>2063</v>
      </c>
      <c r="H86" t="s">
        <v>27</v>
      </c>
      <c r="I86" s="1" t="s">
        <v>512</v>
      </c>
      <c r="J86" s="6"/>
    </row>
    <row r="87" spans="1:10" x14ac:dyDescent="0.2">
      <c r="A87" s="1" t="s">
        <v>1130</v>
      </c>
      <c r="B87" s="6">
        <v>7.4</v>
      </c>
      <c r="C87" s="6" t="s">
        <v>7</v>
      </c>
      <c r="D87" s="6" t="str">
        <f>"6/139"</f>
        <v>6/139</v>
      </c>
      <c r="E87" s="6">
        <v>2.2999999999999998</v>
      </c>
      <c r="F87" s="6" t="s">
        <v>1131</v>
      </c>
      <c r="G87" s="6" t="s">
        <v>1132</v>
      </c>
      <c r="H87" t="s">
        <v>27</v>
      </c>
      <c r="I87" s="1" t="s">
        <v>677</v>
      </c>
      <c r="J87" s="6"/>
    </row>
    <row r="88" spans="1:10" x14ac:dyDescent="0.2">
      <c r="A88" s="1" t="s">
        <v>2178</v>
      </c>
      <c r="B88" s="6">
        <v>7.4</v>
      </c>
      <c r="C88" s="6" t="s">
        <v>7</v>
      </c>
      <c r="D88" s="6" t="str">
        <f>"19/142"</f>
        <v>19/142</v>
      </c>
      <c r="E88" s="6">
        <v>2</v>
      </c>
      <c r="F88" s="6" t="s">
        <v>2179</v>
      </c>
      <c r="G88" s="6" t="s">
        <v>2180</v>
      </c>
      <c r="H88" t="s">
        <v>15</v>
      </c>
      <c r="I88" s="1" t="s">
        <v>77</v>
      </c>
      <c r="J88" s="6"/>
    </row>
    <row r="89" spans="1:10" x14ac:dyDescent="0.2">
      <c r="A89" s="1" t="s">
        <v>2593</v>
      </c>
      <c r="B89" s="6">
        <v>7.4</v>
      </c>
      <c r="C89" s="6" t="s">
        <v>7</v>
      </c>
      <c r="D89" s="6" t="str">
        <f>"6/139"</f>
        <v>6/139</v>
      </c>
      <c r="E89" s="6">
        <v>2</v>
      </c>
      <c r="F89" s="6" t="s">
        <v>2594</v>
      </c>
      <c r="G89" s="6" t="s">
        <v>2595</v>
      </c>
      <c r="H89" t="s">
        <v>15</v>
      </c>
      <c r="I89" s="1" t="s">
        <v>40</v>
      </c>
      <c r="J89" s="6"/>
    </row>
    <row r="90" spans="1:10" x14ac:dyDescent="0.2">
      <c r="A90" s="1" t="s">
        <v>2823</v>
      </c>
      <c r="B90" s="6">
        <v>7.4</v>
      </c>
      <c r="C90" s="6" t="s">
        <v>7</v>
      </c>
      <c r="D90" s="6" t="str">
        <f>"9/65"</f>
        <v>9/65</v>
      </c>
      <c r="E90" s="6">
        <v>1</v>
      </c>
      <c r="F90" s="6" t="s">
        <v>60</v>
      </c>
      <c r="G90" s="6" t="s">
        <v>2824</v>
      </c>
      <c r="H90" t="s">
        <v>10</v>
      </c>
      <c r="I90" s="1" t="s">
        <v>16</v>
      </c>
      <c r="J90" s="6"/>
    </row>
    <row r="91" spans="1:10" x14ac:dyDescent="0.2">
      <c r="A91" s="1" t="s">
        <v>1401</v>
      </c>
      <c r="B91" s="6">
        <v>7.3</v>
      </c>
      <c r="C91" s="6" t="s">
        <v>7</v>
      </c>
      <c r="D91" s="6" t="str">
        <f>"6/90"</f>
        <v>6/90</v>
      </c>
      <c r="E91" s="6">
        <v>2.9</v>
      </c>
      <c r="F91" s="6" t="s">
        <v>1402</v>
      </c>
      <c r="G91" s="6" t="s">
        <v>1403</v>
      </c>
      <c r="H91" t="s">
        <v>27</v>
      </c>
      <c r="I91" s="1" t="s">
        <v>194</v>
      </c>
      <c r="J91" s="6"/>
    </row>
    <row r="92" spans="1:10" x14ac:dyDescent="0.2">
      <c r="A92" s="1" t="s">
        <v>1538</v>
      </c>
      <c r="B92" s="6">
        <v>7.3</v>
      </c>
      <c r="C92" s="6" t="s">
        <v>7</v>
      </c>
      <c r="D92" s="6" t="str">
        <f>"5/137"</f>
        <v>5/137</v>
      </c>
      <c r="E92" s="6">
        <v>1.6</v>
      </c>
      <c r="F92" s="6" t="s">
        <v>1539</v>
      </c>
      <c r="G92" s="6" t="s">
        <v>1540</v>
      </c>
      <c r="H92" t="s">
        <v>15</v>
      </c>
      <c r="I92" s="1" t="s">
        <v>40</v>
      </c>
      <c r="J92" s="6"/>
    </row>
    <row r="93" spans="1:10" x14ac:dyDescent="0.2">
      <c r="A93" s="1" t="s">
        <v>1574</v>
      </c>
      <c r="B93" s="6">
        <v>7.2</v>
      </c>
      <c r="C93" s="6" t="s">
        <v>7</v>
      </c>
      <c r="D93" s="6" t="str">
        <f>"7/30"</f>
        <v>7/30</v>
      </c>
      <c r="E93" s="6">
        <v>2.4</v>
      </c>
      <c r="F93" s="6" t="s">
        <v>1575</v>
      </c>
      <c r="G93" s="6" t="s">
        <v>1576</v>
      </c>
      <c r="H93" t="s">
        <v>15</v>
      </c>
      <c r="I93" s="1" t="s">
        <v>40</v>
      </c>
      <c r="J93" s="6"/>
    </row>
    <row r="94" spans="1:10" x14ac:dyDescent="0.2">
      <c r="A94" s="1" t="s">
        <v>1055</v>
      </c>
      <c r="B94" s="6">
        <v>7.1</v>
      </c>
      <c r="C94" s="6" t="s">
        <v>7</v>
      </c>
      <c r="D94" s="6" t="str">
        <f>"1/16"</f>
        <v>1/16</v>
      </c>
      <c r="E94" s="6">
        <v>11.6</v>
      </c>
      <c r="F94" s="6" t="s">
        <v>1056</v>
      </c>
      <c r="G94" s="6" t="s">
        <v>1056</v>
      </c>
      <c r="H94" t="s">
        <v>51</v>
      </c>
      <c r="I94" s="1" t="s">
        <v>103</v>
      </c>
      <c r="J94" s="6"/>
    </row>
    <row r="95" spans="1:10" x14ac:dyDescent="0.2">
      <c r="A95" s="1" t="s">
        <v>2287</v>
      </c>
      <c r="B95" s="6">
        <v>7.1</v>
      </c>
      <c r="C95" s="6" t="s">
        <v>7</v>
      </c>
      <c r="D95" s="6" t="str">
        <f>"17/158"</f>
        <v>17/158</v>
      </c>
      <c r="E95" s="6">
        <v>2.4</v>
      </c>
      <c r="F95" s="6" t="s">
        <v>2288</v>
      </c>
      <c r="G95" s="6" t="s">
        <v>2288</v>
      </c>
      <c r="H95" t="s">
        <v>102</v>
      </c>
      <c r="I95" s="1" t="s">
        <v>103</v>
      </c>
      <c r="J95" s="6"/>
    </row>
    <row r="96" spans="1:10" ht="28.5" x14ac:dyDescent="0.2">
      <c r="A96" s="1" t="s">
        <v>2466</v>
      </c>
      <c r="B96" s="6">
        <v>7.1</v>
      </c>
      <c r="C96" s="6" t="s">
        <v>7</v>
      </c>
      <c r="D96" s="6" t="str">
        <f>"36/275"</f>
        <v>36/275</v>
      </c>
      <c r="E96" s="6">
        <v>2.6</v>
      </c>
      <c r="F96" s="6" t="s">
        <v>2467</v>
      </c>
      <c r="G96" s="6" t="s">
        <v>2467</v>
      </c>
      <c r="H96" t="s">
        <v>51</v>
      </c>
      <c r="I96" s="1" t="s">
        <v>2468</v>
      </c>
      <c r="J96" s="6"/>
    </row>
    <row r="97" spans="1:10" x14ac:dyDescent="0.2">
      <c r="A97" s="1" t="s">
        <v>864</v>
      </c>
      <c r="B97" s="6">
        <v>7</v>
      </c>
      <c r="C97" s="6" t="s">
        <v>7</v>
      </c>
      <c r="D97" s="6" t="str">
        <f>"6/103"</f>
        <v>6/103</v>
      </c>
      <c r="E97" s="6">
        <v>1.9</v>
      </c>
      <c r="F97" s="6" t="s">
        <v>865</v>
      </c>
      <c r="G97" s="6" t="s">
        <v>865</v>
      </c>
      <c r="H97" t="s">
        <v>102</v>
      </c>
      <c r="I97" s="1" t="s">
        <v>103</v>
      </c>
      <c r="J97" s="6"/>
    </row>
    <row r="98" spans="1:10" x14ac:dyDescent="0.2">
      <c r="A98" s="1" t="s">
        <v>1554</v>
      </c>
      <c r="B98" s="6">
        <v>7</v>
      </c>
      <c r="C98" s="6" t="s">
        <v>7</v>
      </c>
      <c r="D98" s="6" t="str">
        <f>"36/145"</f>
        <v>36/145</v>
      </c>
      <c r="E98" s="6">
        <v>1</v>
      </c>
      <c r="F98" s="6" t="s">
        <v>1555</v>
      </c>
      <c r="G98" s="6" t="s">
        <v>1556</v>
      </c>
      <c r="H98" t="s">
        <v>27</v>
      </c>
      <c r="I98" s="1" t="s">
        <v>1386</v>
      </c>
      <c r="J98" s="6"/>
    </row>
    <row r="99" spans="1:10" x14ac:dyDescent="0.2">
      <c r="A99" s="1" t="s">
        <v>1724</v>
      </c>
      <c r="B99" s="6">
        <v>7</v>
      </c>
      <c r="C99" s="6" t="s">
        <v>7</v>
      </c>
      <c r="D99" s="6" t="str">
        <f>"7/137"</f>
        <v>7/137</v>
      </c>
      <c r="E99" s="6">
        <v>2.6</v>
      </c>
      <c r="F99" s="6" t="s">
        <v>1725</v>
      </c>
      <c r="G99" s="6" t="s">
        <v>1726</v>
      </c>
      <c r="H99" t="s">
        <v>27</v>
      </c>
      <c r="I99" s="1" t="s">
        <v>40</v>
      </c>
      <c r="J99" s="6"/>
    </row>
    <row r="100" spans="1:10" ht="28.5" x14ac:dyDescent="0.2">
      <c r="A100" s="1" t="s">
        <v>1870</v>
      </c>
      <c r="B100" s="6">
        <v>7</v>
      </c>
      <c r="C100" s="6" t="s">
        <v>7</v>
      </c>
      <c r="D100" s="6" t="str">
        <f>"37/275"</f>
        <v>37/275</v>
      </c>
      <c r="E100" s="6">
        <v>2.1</v>
      </c>
      <c r="F100" s="6" t="s">
        <v>1871</v>
      </c>
      <c r="G100" s="6" t="s">
        <v>1871</v>
      </c>
      <c r="H100" t="s">
        <v>27</v>
      </c>
      <c r="I100" s="1" t="s">
        <v>512</v>
      </c>
      <c r="J100" s="6"/>
    </row>
    <row r="101" spans="1:10" x14ac:dyDescent="0.2">
      <c r="A101" s="1" t="s">
        <v>63</v>
      </c>
      <c r="B101" s="6">
        <v>6.9</v>
      </c>
      <c r="C101" s="6" t="s">
        <v>7</v>
      </c>
      <c r="D101" s="6" t="str">
        <f>"9/139"</f>
        <v>9/139</v>
      </c>
      <c r="E101" s="6">
        <v>1.8</v>
      </c>
      <c r="F101" s="6" t="s">
        <v>64</v>
      </c>
      <c r="G101" s="6" t="s">
        <v>65</v>
      </c>
      <c r="H101" t="s">
        <v>15</v>
      </c>
      <c r="I101" s="1" t="s">
        <v>40</v>
      </c>
      <c r="J101" s="6"/>
    </row>
    <row r="102" spans="1:10" x14ac:dyDescent="0.2">
      <c r="A102" s="1" t="s">
        <v>1310</v>
      </c>
      <c r="B102" s="6">
        <v>6.9</v>
      </c>
      <c r="C102" s="6" t="s">
        <v>7</v>
      </c>
      <c r="D102" s="6" t="str">
        <f>"9/139"</f>
        <v>9/139</v>
      </c>
      <c r="E102" s="6">
        <v>1</v>
      </c>
      <c r="F102" s="6" t="s">
        <v>1311</v>
      </c>
      <c r="G102" s="6" t="s">
        <v>1312</v>
      </c>
      <c r="H102" t="s">
        <v>27</v>
      </c>
      <c r="I102" s="1" t="s">
        <v>677</v>
      </c>
      <c r="J102" s="6"/>
    </row>
    <row r="103" spans="1:10" ht="28.5" x14ac:dyDescent="0.2">
      <c r="A103" s="1" t="s">
        <v>2103</v>
      </c>
      <c r="B103" s="6">
        <v>6.9</v>
      </c>
      <c r="C103" s="6" t="s">
        <v>7</v>
      </c>
      <c r="D103" s="6" t="str">
        <f>"38/275"</f>
        <v>38/275</v>
      </c>
      <c r="E103" s="6">
        <v>0.8</v>
      </c>
      <c r="F103" s="6" t="s">
        <v>2104</v>
      </c>
      <c r="G103" s="6" t="s">
        <v>2105</v>
      </c>
      <c r="H103" t="s">
        <v>27</v>
      </c>
      <c r="I103" s="1" t="s">
        <v>512</v>
      </c>
      <c r="J103" s="6"/>
    </row>
    <row r="104" spans="1:10" x14ac:dyDescent="0.2">
      <c r="A104" s="1" t="s">
        <v>94</v>
      </c>
      <c r="B104" s="6">
        <v>6.8</v>
      </c>
      <c r="C104" s="6" t="s">
        <v>7</v>
      </c>
      <c r="D104" s="6" t="str">
        <f>"26/380"</f>
        <v>26/380</v>
      </c>
      <c r="E104" s="6">
        <v>1.1000000000000001</v>
      </c>
      <c r="F104" s="6" t="s">
        <v>95</v>
      </c>
      <c r="G104" s="6" t="s">
        <v>96</v>
      </c>
      <c r="H104" t="s">
        <v>15</v>
      </c>
      <c r="I104" s="1" t="s">
        <v>40</v>
      </c>
      <c r="J104" s="6"/>
    </row>
    <row r="105" spans="1:10" ht="28.5" x14ac:dyDescent="0.2">
      <c r="A105" s="1" t="s">
        <v>1864</v>
      </c>
      <c r="B105" s="6">
        <v>6.8</v>
      </c>
      <c r="C105" s="6" t="s">
        <v>7</v>
      </c>
      <c r="D105" s="6" t="str">
        <f>"39/275"</f>
        <v>39/275</v>
      </c>
      <c r="E105" s="6">
        <v>1.5</v>
      </c>
      <c r="F105" s="6" t="s">
        <v>1865</v>
      </c>
      <c r="G105" s="6" t="s">
        <v>1866</v>
      </c>
      <c r="H105" t="s">
        <v>27</v>
      </c>
      <c r="I105" s="1" t="s">
        <v>512</v>
      </c>
      <c r="J105" s="6"/>
    </row>
    <row r="106" spans="1:10" ht="28.5" x14ac:dyDescent="0.2">
      <c r="A106" s="1" t="s">
        <v>2009</v>
      </c>
      <c r="B106" s="6">
        <v>6.8</v>
      </c>
      <c r="C106" s="6" t="s">
        <v>7</v>
      </c>
      <c r="D106" s="6" t="str">
        <f>"39/275"</f>
        <v>39/275</v>
      </c>
      <c r="E106" s="6">
        <v>3</v>
      </c>
      <c r="F106" s="6" t="s">
        <v>2010</v>
      </c>
      <c r="G106" s="6" t="s">
        <v>2011</v>
      </c>
      <c r="H106" t="s">
        <v>27</v>
      </c>
      <c r="I106" s="1" t="s">
        <v>512</v>
      </c>
      <c r="J106" s="6"/>
    </row>
    <row r="107" spans="1:10" x14ac:dyDescent="0.2">
      <c r="A107" s="1" t="s">
        <v>2194</v>
      </c>
      <c r="B107" s="6">
        <v>6.8</v>
      </c>
      <c r="C107" s="6" t="s">
        <v>7</v>
      </c>
      <c r="D107" s="6" t="str">
        <f>"8/136"</f>
        <v>8/136</v>
      </c>
      <c r="E107" s="6">
        <v>2.4</v>
      </c>
      <c r="F107" s="6" t="s">
        <v>2195</v>
      </c>
      <c r="G107" s="6" t="s">
        <v>2196</v>
      </c>
      <c r="H107" t="s">
        <v>51</v>
      </c>
      <c r="I107" s="1" t="s">
        <v>2197</v>
      </c>
      <c r="J107" s="6"/>
    </row>
    <row r="108" spans="1:10" x14ac:dyDescent="0.2">
      <c r="A108" s="1" t="s">
        <v>2570</v>
      </c>
      <c r="B108" s="6">
        <v>6.8</v>
      </c>
      <c r="C108" s="6" t="s">
        <v>7</v>
      </c>
      <c r="D108" s="6" t="str">
        <f>"5/63"</f>
        <v>5/63</v>
      </c>
      <c r="E108" s="6">
        <v>2.1</v>
      </c>
      <c r="F108" s="6" t="s">
        <v>2571</v>
      </c>
      <c r="G108" s="6" t="s">
        <v>2571</v>
      </c>
      <c r="H108" t="s">
        <v>102</v>
      </c>
      <c r="I108" s="1" t="s">
        <v>103</v>
      </c>
      <c r="J108" s="6"/>
    </row>
    <row r="109" spans="1:10" x14ac:dyDescent="0.2">
      <c r="A109" s="1" t="s">
        <v>2761</v>
      </c>
      <c r="B109" s="6">
        <v>6.8</v>
      </c>
      <c r="C109" s="6" t="s">
        <v>7</v>
      </c>
      <c r="D109" s="6" t="str">
        <f>"8/90"</f>
        <v>8/90</v>
      </c>
      <c r="E109" s="6">
        <v>2.8</v>
      </c>
      <c r="F109" s="6" t="s">
        <v>2762</v>
      </c>
      <c r="G109" s="6" t="s">
        <v>2763</v>
      </c>
      <c r="H109" t="s">
        <v>2764</v>
      </c>
      <c r="I109" s="1" t="s">
        <v>103</v>
      </c>
      <c r="J109" s="6"/>
    </row>
    <row r="110" spans="1:10" x14ac:dyDescent="0.2">
      <c r="A110" s="1" t="s">
        <v>249</v>
      </c>
      <c r="B110" s="6">
        <v>6.7</v>
      </c>
      <c r="C110" s="6" t="s">
        <v>24</v>
      </c>
      <c r="D110" s="6" t="str">
        <f>"37/119"</f>
        <v>37/119</v>
      </c>
      <c r="E110" s="6">
        <v>1.5</v>
      </c>
      <c r="F110" s="6" t="s">
        <v>250</v>
      </c>
      <c r="G110" s="6" t="s">
        <v>251</v>
      </c>
      <c r="H110" t="s">
        <v>27</v>
      </c>
      <c r="I110" s="1" t="s">
        <v>40</v>
      </c>
      <c r="J110" s="6"/>
    </row>
    <row r="111" spans="1:10" x14ac:dyDescent="0.2">
      <c r="A111" s="1" t="s">
        <v>414</v>
      </c>
      <c r="B111" s="6">
        <v>6.7</v>
      </c>
      <c r="C111" s="6" t="s">
        <v>7</v>
      </c>
      <c r="D111" s="6" t="str">
        <f>"27/160"</f>
        <v>27/160</v>
      </c>
      <c r="E111" s="6">
        <v>1.1000000000000001</v>
      </c>
      <c r="F111" s="6" t="s">
        <v>415</v>
      </c>
      <c r="G111" s="6" t="s">
        <v>416</v>
      </c>
      <c r="H111" t="s">
        <v>15</v>
      </c>
      <c r="I111" s="1" t="s">
        <v>16</v>
      </c>
      <c r="J111" s="6"/>
    </row>
    <row r="112" spans="1:10" x14ac:dyDescent="0.2">
      <c r="A112" s="1" t="s">
        <v>423</v>
      </c>
      <c r="B112" s="6">
        <v>6.7</v>
      </c>
      <c r="C112" s="6" t="s">
        <v>7</v>
      </c>
      <c r="D112" s="6" t="str">
        <f>"42/275"</f>
        <v>42/275</v>
      </c>
      <c r="E112" s="6">
        <v>0.5</v>
      </c>
      <c r="F112" s="6" t="s">
        <v>424</v>
      </c>
      <c r="G112" s="6" t="s">
        <v>425</v>
      </c>
      <c r="H112" t="s">
        <v>27</v>
      </c>
      <c r="I112" s="1" t="s">
        <v>426</v>
      </c>
      <c r="J112" s="6"/>
    </row>
    <row r="113" spans="1:10" ht="28.5" x14ac:dyDescent="0.2">
      <c r="A113" s="1" t="s">
        <v>1904</v>
      </c>
      <c r="B113" s="6">
        <v>6.7</v>
      </c>
      <c r="C113" s="6" t="s">
        <v>7</v>
      </c>
      <c r="D113" s="6" t="str">
        <f>"42/275"</f>
        <v>42/275</v>
      </c>
      <c r="E113" s="6">
        <v>1.9</v>
      </c>
      <c r="F113" s="6" t="s">
        <v>1905</v>
      </c>
      <c r="G113" s="6" t="s">
        <v>1906</v>
      </c>
      <c r="H113" t="s">
        <v>27</v>
      </c>
      <c r="I113" s="1" t="s">
        <v>512</v>
      </c>
      <c r="J113" s="6"/>
    </row>
    <row r="114" spans="1:10" x14ac:dyDescent="0.2">
      <c r="A114" s="1" t="s">
        <v>2370</v>
      </c>
      <c r="B114" s="6">
        <v>6.7</v>
      </c>
      <c r="C114" s="6" t="s">
        <v>7</v>
      </c>
      <c r="D114" s="6" t="str">
        <f>"12/139"</f>
        <v>12/139</v>
      </c>
      <c r="E114" s="6">
        <v>1.7</v>
      </c>
      <c r="F114" s="6" t="s">
        <v>2371</v>
      </c>
      <c r="G114" s="6" t="s">
        <v>2372</v>
      </c>
      <c r="H114" t="s">
        <v>292</v>
      </c>
      <c r="I114" s="1" t="s">
        <v>293</v>
      </c>
      <c r="J114" s="6"/>
    </row>
    <row r="115" spans="1:10" x14ac:dyDescent="0.2">
      <c r="A115" s="1" t="s">
        <v>201</v>
      </c>
      <c r="B115" s="6">
        <v>6.6</v>
      </c>
      <c r="C115" s="6" t="s">
        <v>7</v>
      </c>
      <c r="D115" s="6" t="str">
        <f>"6/63"</f>
        <v>6/63</v>
      </c>
      <c r="E115" s="6">
        <v>1.4</v>
      </c>
      <c r="F115" s="6" t="s">
        <v>202</v>
      </c>
      <c r="G115" s="6" t="s">
        <v>203</v>
      </c>
      <c r="H115" t="s">
        <v>15</v>
      </c>
      <c r="I115" s="1" t="s">
        <v>36</v>
      </c>
      <c r="J115" s="6"/>
    </row>
    <row r="116" spans="1:10" x14ac:dyDescent="0.2">
      <c r="A116" s="1" t="s">
        <v>1610</v>
      </c>
      <c r="B116" s="6">
        <v>6.6</v>
      </c>
      <c r="C116" s="6" t="s">
        <v>7</v>
      </c>
      <c r="D116" s="6" t="str">
        <f>"9/90"</f>
        <v>9/90</v>
      </c>
      <c r="E116" s="6">
        <v>2.5</v>
      </c>
      <c r="F116" s="6" t="s">
        <v>1611</v>
      </c>
      <c r="G116" s="6" t="s">
        <v>1612</v>
      </c>
      <c r="H116" t="s">
        <v>15</v>
      </c>
      <c r="I116" s="1" t="s">
        <v>40</v>
      </c>
      <c r="J116" s="6"/>
    </row>
    <row r="117" spans="1:10" ht="28.5" x14ac:dyDescent="0.2">
      <c r="A117" s="1" t="s">
        <v>1901</v>
      </c>
      <c r="B117" s="6">
        <v>6.6</v>
      </c>
      <c r="C117" s="6" t="s">
        <v>7</v>
      </c>
      <c r="D117" s="6" t="str">
        <f>"44/275"</f>
        <v>44/275</v>
      </c>
      <c r="E117" s="6">
        <v>2.2000000000000002</v>
      </c>
      <c r="F117" s="6" t="s">
        <v>1902</v>
      </c>
      <c r="G117" s="6" t="s">
        <v>1903</v>
      </c>
      <c r="H117" t="s">
        <v>27</v>
      </c>
      <c r="I117" s="1" t="s">
        <v>512</v>
      </c>
      <c r="J117" s="6"/>
    </row>
    <row r="118" spans="1:10" x14ac:dyDescent="0.2">
      <c r="A118" s="1" t="s">
        <v>1917</v>
      </c>
      <c r="B118" s="6">
        <v>6.6</v>
      </c>
      <c r="C118" s="6" t="s">
        <v>7</v>
      </c>
      <c r="D118" s="6" t="str">
        <f>"5/107"</f>
        <v>5/107</v>
      </c>
      <c r="E118" s="6">
        <v>3.2</v>
      </c>
      <c r="F118" s="6" t="s">
        <v>1918</v>
      </c>
      <c r="G118" s="6" t="s">
        <v>1918</v>
      </c>
      <c r="H118" t="s">
        <v>27</v>
      </c>
      <c r="I118" s="1" t="s">
        <v>1913</v>
      </c>
      <c r="J118" s="6"/>
    </row>
    <row r="119" spans="1:10" x14ac:dyDescent="0.2">
      <c r="A119" s="1" t="s">
        <v>48</v>
      </c>
      <c r="B119" s="6">
        <v>6.4</v>
      </c>
      <c r="C119" s="6" t="s">
        <v>7</v>
      </c>
      <c r="D119" s="6" t="str">
        <f>"13/139"</f>
        <v>13/139</v>
      </c>
      <c r="E119" s="6">
        <v>2.9</v>
      </c>
      <c r="F119" s="6" t="s">
        <v>49</v>
      </c>
      <c r="G119" s="6" t="s">
        <v>50</v>
      </c>
      <c r="H119" t="s">
        <v>51</v>
      </c>
      <c r="I119" s="1" t="s">
        <v>52</v>
      </c>
      <c r="J119" s="6"/>
    </row>
    <row r="120" spans="1:10" x14ac:dyDescent="0.2">
      <c r="A120" s="1" t="s">
        <v>138</v>
      </c>
      <c r="B120" s="6">
        <v>6.4</v>
      </c>
      <c r="C120" s="6" t="s">
        <v>7</v>
      </c>
      <c r="D120" s="6" t="str">
        <f>"9/136"</f>
        <v>9/136</v>
      </c>
      <c r="E120" s="6">
        <v>1.4</v>
      </c>
      <c r="F120" s="6" t="s">
        <v>139</v>
      </c>
      <c r="G120" s="6" t="s">
        <v>140</v>
      </c>
      <c r="H120" t="s">
        <v>15</v>
      </c>
      <c r="I120" s="1" t="s">
        <v>77</v>
      </c>
      <c r="J120" s="6"/>
    </row>
    <row r="121" spans="1:10" x14ac:dyDescent="0.2">
      <c r="A121" s="1" t="s">
        <v>1171</v>
      </c>
      <c r="B121" s="6">
        <v>6.4</v>
      </c>
      <c r="C121" s="6" t="s">
        <v>7</v>
      </c>
      <c r="D121" s="6" t="str">
        <f>"15/202"</f>
        <v>15/202</v>
      </c>
      <c r="E121" s="6">
        <v>1.2</v>
      </c>
      <c r="F121" s="6" t="s">
        <v>1172</v>
      </c>
      <c r="G121" s="6" t="s">
        <v>1173</v>
      </c>
      <c r="H121" t="s">
        <v>102</v>
      </c>
      <c r="I121" s="1" t="s">
        <v>103</v>
      </c>
      <c r="J121" s="6"/>
    </row>
    <row r="122" spans="1:10" x14ac:dyDescent="0.2">
      <c r="A122" s="1" t="s">
        <v>1350</v>
      </c>
      <c r="B122" s="6">
        <v>6.4</v>
      </c>
      <c r="C122" s="6" t="s">
        <v>7</v>
      </c>
      <c r="D122" s="6" t="str">
        <f>"13/139"</f>
        <v>13/139</v>
      </c>
      <c r="E122" s="6">
        <v>2</v>
      </c>
      <c r="F122" s="6" t="s">
        <v>1351</v>
      </c>
      <c r="G122" s="6" t="s">
        <v>1351</v>
      </c>
      <c r="H122" t="s">
        <v>102</v>
      </c>
      <c r="I122" s="1" t="s">
        <v>103</v>
      </c>
      <c r="J122" s="6"/>
    </row>
    <row r="123" spans="1:10" ht="28.5" x14ac:dyDescent="0.2">
      <c r="A123" s="1" t="s">
        <v>1852</v>
      </c>
      <c r="B123" s="6">
        <v>6.4</v>
      </c>
      <c r="C123" s="6" t="s">
        <v>7</v>
      </c>
      <c r="D123" s="6" t="str">
        <f>"9/136"</f>
        <v>9/136</v>
      </c>
      <c r="E123" s="6">
        <v>2</v>
      </c>
      <c r="F123" s="6" t="s">
        <v>1853</v>
      </c>
      <c r="G123" s="6" t="s">
        <v>1854</v>
      </c>
      <c r="H123" t="s">
        <v>27</v>
      </c>
      <c r="I123" s="1" t="s">
        <v>512</v>
      </c>
      <c r="J123" s="6"/>
    </row>
    <row r="124" spans="1:10" x14ac:dyDescent="0.2">
      <c r="A124" s="1" t="s">
        <v>2079</v>
      </c>
      <c r="B124" s="6">
        <v>6.4</v>
      </c>
      <c r="C124" s="6" t="s">
        <v>7</v>
      </c>
      <c r="D124" s="6" t="str">
        <f>"46/275"</f>
        <v>46/275</v>
      </c>
      <c r="E124" s="6">
        <v>2.2999999999999998</v>
      </c>
      <c r="F124" s="6" t="s">
        <v>2080</v>
      </c>
      <c r="G124" s="6" t="s">
        <v>2081</v>
      </c>
      <c r="H124" t="s">
        <v>27</v>
      </c>
      <c r="I124" s="1" t="s">
        <v>1913</v>
      </c>
      <c r="J124" s="6"/>
    </row>
    <row r="125" spans="1:10" x14ac:dyDescent="0.2">
      <c r="A125" s="1" t="s">
        <v>2252</v>
      </c>
      <c r="B125" s="6">
        <v>6.4</v>
      </c>
      <c r="C125" s="6" t="s">
        <v>7</v>
      </c>
      <c r="D125" s="6" t="str">
        <f>"13/86"</f>
        <v>13/86</v>
      </c>
      <c r="E125" s="6">
        <v>1.8</v>
      </c>
      <c r="F125" s="6" t="s">
        <v>2253</v>
      </c>
      <c r="G125" s="6" t="s">
        <v>2254</v>
      </c>
      <c r="H125" t="s">
        <v>102</v>
      </c>
      <c r="I125" s="1" t="s">
        <v>103</v>
      </c>
      <c r="J125" s="6"/>
    </row>
    <row r="126" spans="1:10" x14ac:dyDescent="0.2">
      <c r="A126" s="1" t="s">
        <v>2651</v>
      </c>
      <c r="B126" s="6">
        <v>6.4</v>
      </c>
      <c r="C126" s="6" t="s">
        <v>7</v>
      </c>
      <c r="D126" s="6" t="str">
        <f>"46/275"</f>
        <v>46/275</v>
      </c>
      <c r="E126" s="6">
        <v>1.3</v>
      </c>
      <c r="F126" s="6" t="s">
        <v>2652</v>
      </c>
      <c r="G126" s="6" t="s">
        <v>2653</v>
      </c>
      <c r="H126" t="s">
        <v>27</v>
      </c>
      <c r="I126" s="1" t="s">
        <v>40</v>
      </c>
      <c r="J126" s="6"/>
    </row>
    <row r="127" spans="1:10" x14ac:dyDescent="0.2">
      <c r="A127" s="1" t="s">
        <v>2702</v>
      </c>
      <c r="B127" s="6">
        <v>6.4</v>
      </c>
      <c r="C127" s="6" t="s">
        <v>7</v>
      </c>
      <c r="D127" s="6" t="str">
        <f>"9/136"</f>
        <v>9/136</v>
      </c>
      <c r="E127" s="6">
        <v>1.4</v>
      </c>
      <c r="F127" s="6" t="s">
        <v>2703</v>
      </c>
      <c r="G127" s="6" t="s">
        <v>2704</v>
      </c>
      <c r="H127" t="s">
        <v>15</v>
      </c>
      <c r="I127" s="1" t="s">
        <v>40</v>
      </c>
      <c r="J127" s="6"/>
    </row>
    <row r="128" spans="1:10" ht="28.5" x14ac:dyDescent="0.2">
      <c r="A128" s="1" t="s">
        <v>1073</v>
      </c>
      <c r="B128" s="6">
        <v>6.3</v>
      </c>
      <c r="C128" s="6" t="s">
        <v>7</v>
      </c>
      <c r="D128" s="6" t="str">
        <f>"49/275"</f>
        <v>49/275</v>
      </c>
      <c r="E128" s="6">
        <v>1.6</v>
      </c>
      <c r="F128" s="6" t="s">
        <v>1074</v>
      </c>
      <c r="G128" s="6" t="s">
        <v>1075</v>
      </c>
      <c r="H128" t="s">
        <v>51</v>
      </c>
      <c r="I128" s="1" t="s">
        <v>1076</v>
      </c>
      <c r="J128" s="6"/>
    </row>
    <row r="129" spans="1:10" ht="28.5" x14ac:dyDescent="0.2">
      <c r="A129" s="1" t="s">
        <v>2088</v>
      </c>
      <c r="B129" s="6">
        <v>6.3</v>
      </c>
      <c r="C129" s="6" t="s">
        <v>7</v>
      </c>
      <c r="D129" s="6" t="str">
        <f>"49/275"</f>
        <v>49/275</v>
      </c>
      <c r="E129" s="6">
        <v>1.4</v>
      </c>
      <c r="F129" s="6" t="s">
        <v>2089</v>
      </c>
      <c r="G129" s="6" t="s">
        <v>2090</v>
      </c>
      <c r="H129" t="s">
        <v>27</v>
      </c>
      <c r="I129" s="1" t="s">
        <v>512</v>
      </c>
      <c r="J129" s="6"/>
    </row>
    <row r="130" spans="1:10" x14ac:dyDescent="0.2">
      <c r="A130" s="1" t="s">
        <v>74</v>
      </c>
      <c r="B130" s="6">
        <v>6.2</v>
      </c>
      <c r="C130" s="6" t="s">
        <v>7</v>
      </c>
      <c r="D130" s="6" t="str">
        <f>"12/136"</f>
        <v>12/136</v>
      </c>
      <c r="E130" s="6">
        <v>1.6</v>
      </c>
      <c r="F130" s="6" t="s">
        <v>75</v>
      </c>
      <c r="G130" s="6" t="s">
        <v>76</v>
      </c>
      <c r="H130" t="s">
        <v>15</v>
      </c>
      <c r="I130" s="1" t="s">
        <v>77</v>
      </c>
      <c r="J130" s="6"/>
    </row>
    <row r="131" spans="1:10" x14ac:dyDescent="0.2">
      <c r="A131" s="1" t="s">
        <v>1127</v>
      </c>
      <c r="B131" s="6">
        <v>6.2</v>
      </c>
      <c r="C131" s="6" t="s">
        <v>24</v>
      </c>
      <c r="D131" s="6" t="str">
        <f>"15/50"</f>
        <v>15/50</v>
      </c>
      <c r="E131" s="6">
        <v>1.4</v>
      </c>
      <c r="F131" s="6" t="s">
        <v>1128</v>
      </c>
      <c r="G131" s="6" t="s">
        <v>1129</v>
      </c>
      <c r="H131" t="s">
        <v>27</v>
      </c>
      <c r="I131" s="1" t="s">
        <v>77</v>
      </c>
      <c r="J131" s="6"/>
    </row>
    <row r="132" spans="1:10" x14ac:dyDescent="0.2">
      <c r="A132" s="1" t="s">
        <v>23</v>
      </c>
      <c r="B132" s="6">
        <v>6.1</v>
      </c>
      <c r="C132" s="6" t="s">
        <v>24</v>
      </c>
      <c r="D132" s="6" t="str">
        <f>"43/119"</f>
        <v>43/119</v>
      </c>
      <c r="E132" s="6">
        <v>0.9</v>
      </c>
      <c r="F132" s="6" t="s">
        <v>25</v>
      </c>
      <c r="G132" s="6" t="s">
        <v>26</v>
      </c>
      <c r="H132" t="s">
        <v>27</v>
      </c>
      <c r="I132" s="1" t="s">
        <v>28</v>
      </c>
      <c r="J132" s="6"/>
    </row>
    <row r="133" spans="1:10" x14ac:dyDescent="0.2">
      <c r="A133" s="1" t="s">
        <v>321</v>
      </c>
      <c r="B133" s="6">
        <v>6.1</v>
      </c>
      <c r="C133" s="6" t="s">
        <v>7</v>
      </c>
      <c r="D133" s="6" t="str">
        <f>"16/86"</f>
        <v>16/86</v>
      </c>
      <c r="E133" s="6">
        <v>1.2</v>
      </c>
      <c r="F133" s="6" t="s">
        <v>322</v>
      </c>
      <c r="G133" s="6" t="s">
        <v>323</v>
      </c>
      <c r="H133" t="s">
        <v>102</v>
      </c>
      <c r="I133" s="1" t="s">
        <v>103</v>
      </c>
      <c r="J133" s="6"/>
    </row>
    <row r="134" spans="1:10" x14ac:dyDescent="0.2">
      <c r="A134" s="1" t="s">
        <v>2331</v>
      </c>
      <c r="B134" s="6">
        <v>6.1</v>
      </c>
      <c r="C134" s="6" t="s">
        <v>7</v>
      </c>
      <c r="D134" s="6" t="str">
        <f>"12/137"</f>
        <v>12/137</v>
      </c>
      <c r="E134" s="6">
        <v>1.6</v>
      </c>
      <c r="F134" s="6" t="s">
        <v>2332</v>
      </c>
      <c r="G134" s="6" t="s">
        <v>2333</v>
      </c>
      <c r="H134" t="s">
        <v>51</v>
      </c>
      <c r="I134" s="1" t="s">
        <v>44</v>
      </c>
      <c r="J134" s="6"/>
    </row>
    <row r="135" spans="1:10" x14ac:dyDescent="0.2">
      <c r="A135" s="1" t="s">
        <v>649</v>
      </c>
      <c r="B135" s="6">
        <v>6</v>
      </c>
      <c r="C135" s="6" t="s">
        <v>24</v>
      </c>
      <c r="D135" s="6" t="str">
        <f>"41/145"</f>
        <v>41/145</v>
      </c>
      <c r="E135" s="6">
        <v>1.1000000000000001</v>
      </c>
      <c r="F135" s="6" t="s">
        <v>650</v>
      </c>
      <c r="G135" s="6" t="s">
        <v>651</v>
      </c>
      <c r="H135" t="s">
        <v>15</v>
      </c>
      <c r="I135" s="1" t="s">
        <v>271</v>
      </c>
      <c r="J135" s="6"/>
    </row>
    <row r="136" spans="1:10" x14ac:dyDescent="0.2">
      <c r="A136" s="1" t="s">
        <v>2738</v>
      </c>
      <c r="B136" s="6">
        <v>6</v>
      </c>
      <c r="C136" s="6" t="s">
        <v>7</v>
      </c>
      <c r="D136" s="6" t="str">
        <f>"23/96"</f>
        <v>23/96</v>
      </c>
      <c r="E136" s="6">
        <v>1.4</v>
      </c>
      <c r="F136" s="6" t="s">
        <v>2739</v>
      </c>
      <c r="G136" s="6" t="s">
        <v>2739</v>
      </c>
      <c r="H136" t="s">
        <v>27</v>
      </c>
      <c r="I136" s="1" t="s">
        <v>1019</v>
      </c>
      <c r="J136" s="6"/>
    </row>
    <row r="137" spans="1:10" x14ac:dyDescent="0.2">
      <c r="A137" s="1" t="s">
        <v>2768</v>
      </c>
      <c r="B137" s="6">
        <v>6</v>
      </c>
      <c r="C137" s="6" t="s">
        <v>7</v>
      </c>
      <c r="D137" s="6" t="str">
        <f>"14/90"</f>
        <v>14/90</v>
      </c>
      <c r="E137" s="6">
        <v>2.6</v>
      </c>
      <c r="F137" s="6" t="s">
        <v>2769</v>
      </c>
      <c r="G137" s="6" t="s">
        <v>2770</v>
      </c>
      <c r="H137" t="s">
        <v>2764</v>
      </c>
      <c r="I137" s="1" t="s">
        <v>103</v>
      </c>
      <c r="J137" s="6"/>
    </row>
    <row r="138" spans="1:10" ht="28.5" x14ac:dyDescent="0.2">
      <c r="A138" s="1" t="s">
        <v>1895</v>
      </c>
      <c r="B138" s="6">
        <v>5.9</v>
      </c>
      <c r="C138" s="6" t="s">
        <v>7</v>
      </c>
      <c r="D138" s="6" t="str">
        <f>"12/108"</f>
        <v>12/108</v>
      </c>
      <c r="E138" s="6">
        <v>1.5</v>
      </c>
      <c r="F138" s="6" t="s">
        <v>1896</v>
      </c>
      <c r="G138" s="6" t="s">
        <v>1897</v>
      </c>
      <c r="H138" t="s">
        <v>27</v>
      </c>
      <c r="I138" s="1" t="s">
        <v>512</v>
      </c>
      <c r="J138" s="6"/>
    </row>
    <row r="139" spans="1:10" x14ac:dyDescent="0.2">
      <c r="A139" s="1" t="s">
        <v>198</v>
      </c>
      <c r="B139" s="6">
        <v>5.8</v>
      </c>
      <c r="C139" s="6" t="s">
        <v>7</v>
      </c>
      <c r="D139" s="6" t="str">
        <f>"18/139"</f>
        <v>18/139</v>
      </c>
      <c r="E139" s="6">
        <v>1.3</v>
      </c>
      <c r="F139" s="6" t="s">
        <v>199</v>
      </c>
      <c r="G139" s="6" t="s">
        <v>200</v>
      </c>
      <c r="H139" t="s">
        <v>102</v>
      </c>
      <c r="I139" s="1" t="s">
        <v>103</v>
      </c>
      <c r="J139" s="6"/>
    </row>
    <row r="140" spans="1:10" x14ac:dyDescent="0.2">
      <c r="A140" s="1" t="s">
        <v>1772</v>
      </c>
      <c r="B140" s="6">
        <v>5.8</v>
      </c>
      <c r="C140" s="6" t="s">
        <v>7</v>
      </c>
      <c r="D140" s="6" t="str">
        <f>"34/207"</f>
        <v>34/207</v>
      </c>
      <c r="E140" s="6">
        <v>1.1000000000000001</v>
      </c>
      <c r="F140" s="6" t="s">
        <v>1773</v>
      </c>
      <c r="G140" s="6" t="s">
        <v>1774</v>
      </c>
      <c r="H140" t="s">
        <v>1775</v>
      </c>
      <c r="I140" s="1" t="s">
        <v>1386</v>
      </c>
      <c r="J140" s="6"/>
    </row>
    <row r="141" spans="1:10" x14ac:dyDescent="0.2">
      <c r="A141" s="1" t="s">
        <v>2144</v>
      </c>
      <c r="B141" s="6">
        <v>5.8</v>
      </c>
      <c r="C141" s="6" t="s">
        <v>7</v>
      </c>
      <c r="D141" s="6" t="str">
        <f>"6/41"</f>
        <v>6/41</v>
      </c>
      <c r="E141" s="6">
        <v>1.8</v>
      </c>
      <c r="F141" s="6" t="s">
        <v>2145</v>
      </c>
      <c r="G141" s="6" t="s">
        <v>2146</v>
      </c>
      <c r="H141" t="s">
        <v>15</v>
      </c>
      <c r="I141" s="1" t="s">
        <v>248</v>
      </c>
      <c r="J141" s="6"/>
    </row>
    <row r="142" spans="1:10" x14ac:dyDescent="0.2">
      <c r="A142" s="1" t="s">
        <v>927</v>
      </c>
      <c r="B142" s="6">
        <v>5.7</v>
      </c>
      <c r="C142" s="6" t="s">
        <v>24</v>
      </c>
      <c r="D142" s="6" t="str">
        <f>"46/119"</f>
        <v>46/119</v>
      </c>
      <c r="E142" s="6">
        <v>1.7</v>
      </c>
      <c r="F142" s="6" t="s">
        <v>928</v>
      </c>
      <c r="G142" s="6" t="s">
        <v>929</v>
      </c>
      <c r="H142" t="s">
        <v>15</v>
      </c>
      <c r="I142" s="1" t="s">
        <v>77</v>
      </c>
      <c r="J142" s="6"/>
    </row>
    <row r="143" spans="1:10" ht="28.5" x14ac:dyDescent="0.2">
      <c r="A143" s="1" t="s">
        <v>2012</v>
      </c>
      <c r="B143" s="6">
        <v>5.7</v>
      </c>
      <c r="C143" s="6" t="s">
        <v>7</v>
      </c>
      <c r="D143" s="6" t="str">
        <f>"55/275"</f>
        <v>55/275</v>
      </c>
      <c r="E143" s="6">
        <v>1.2</v>
      </c>
      <c r="F143" s="6" t="s">
        <v>2013</v>
      </c>
      <c r="G143" s="6" t="s">
        <v>2014</v>
      </c>
      <c r="H143" t="s">
        <v>27</v>
      </c>
      <c r="I143" s="1" t="s">
        <v>512</v>
      </c>
      <c r="J143" s="6"/>
    </row>
    <row r="144" spans="1:10" ht="28.5" x14ac:dyDescent="0.2">
      <c r="A144" s="1" t="s">
        <v>2035</v>
      </c>
      <c r="B144" s="6">
        <v>5.7</v>
      </c>
      <c r="C144" s="6" t="s">
        <v>7</v>
      </c>
      <c r="D144" s="6" t="str">
        <f>"15/65"</f>
        <v>15/65</v>
      </c>
      <c r="E144" s="6">
        <v>1</v>
      </c>
      <c r="F144" s="6" t="s">
        <v>2036</v>
      </c>
      <c r="G144" s="6" t="s">
        <v>2037</v>
      </c>
      <c r="H144" t="s">
        <v>27</v>
      </c>
      <c r="I144" s="1" t="s">
        <v>512</v>
      </c>
      <c r="J144" s="6"/>
    </row>
    <row r="145" spans="1:10" ht="28.5" x14ac:dyDescent="0.2">
      <c r="A145" s="1" t="s">
        <v>2097</v>
      </c>
      <c r="B145" s="6">
        <v>5.7</v>
      </c>
      <c r="C145" s="6" t="s">
        <v>7</v>
      </c>
      <c r="D145" s="6" t="str">
        <f>"15/65"</f>
        <v>15/65</v>
      </c>
      <c r="E145" s="6">
        <v>0.8</v>
      </c>
      <c r="F145" s="6" t="s">
        <v>2098</v>
      </c>
      <c r="G145" s="6" t="s">
        <v>2099</v>
      </c>
      <c r="H145" t="s">
        <v>27</v>
      </c>
      <c r="I145" s="1" t="s">
        <v>512</v>
      </c>
      <c r="J145" s="6"/>
    </row>
    <row r="146" spans="1:10" ht="28.5" x14ac:dyDescent="0.2">
      <c r="A146" s="1" t="s">
        <v>2310</v>
      </c>
      <c r="B146" s="6">
        <v>5.7</v>
      </c>
      <c r="C146" s="6" t="s">
        <v>7</v>
      </c>
      <c r="D146" s="6" t="str">
        <f>"15/90"</f>
        <v>15/90</v>
      </c>
      <c r="E146" s="6">
        <v>2.1</v>
      </c>
      <c r="F146" s="6" t="s">
        <v>2311</v>
      </c>
      <c r="G146" s="6" t="s">
        <v>2311</v>
      </c>
      <c r="H146" t="s">
        <v>57</v>
      </c>
      <c r="I146" s="1" t="s">
        <v>2312</v>
      </c>
      <c r="J146" s="6"/>
    </row>
    <row r="147" spans="1:10" x14ac:dyDescent="0.2">
      <c r="A147" s="1" t="s">
        <v>2551</v>
      </c>
      <c r="B147" s="6">
        <v>5.7</v>
      </c>
      <c r="C147" s="6" t="s">
        <v>7</v>
      </c>
      <c r="D147" s="6" t="str">
        <f>"2/34"</f>
        <v>2/34</v>
      </c>
      <c r="E147" s="6">
        <v>2.2999999999999998</v>
      </c>
      <c r="F147" s="6" t="s">
        <v>2552</v>
      </c>
      <c r="G147" s="6" t="s">
        <v>2553</v>
      </c>
      <c r="H147" t="s">
        <v>51</v>
      </c>
      <c r="I147" s="1" t="s">
        <v>194</v>
      </c>
      <c r="J147" s="6"/>
    </row>
    <row r="148" spans="1:10" x14ac:dyDescent="0.2">
      <c r="A148" s="1" t="s">
        <v>640</v>
      </c>
      <c r="B148" s="6">
        <v>5.6</v>
      </c>
      <c r="C148" s="6" t="s">
        <v>7</v>
      </c>
      <c r="D148" s="6" t="str">
        <f>"13/137"</f>
        <v>13/137</v>
      </c>
      <c r="E148" s="6">
        <v>1.4</v>
      </c>
      <c r="F148" s="6" t="s">
        <v>641</v>
      </c>
      <c r="G148" s="6" t="s">
        <v>642</v>
      </c>
      <c r="H148" t="s">
        <v>27</v>
      </c>
      <c r="I148" s="1" t="s">
        <v>133</v>
      </c>
      <c r="J148" s="6"/>
    </row>
    <row r="149" spans="1:10" x14ac:dyDescent="0.2">
      <c r="A149" s="1" t="s">
        <v>777</v>
      </c>
      <c r="B149" s="6">
        <v>5.6</v>
      </c>
      <c r="C149" s="6" t="s">
        <v>7</v>
      </c>
      <c r="D149" s="6" t="str">
        <f>"9/63"</f>
        <v>9/63</v>
      </c>
      <c r="E149" s="6">
        <v>1.3</v>
      </c>
      <c r="F149" s="6" t="s">
        <v>778</v>
      </c>
      <c r="G149" s="6" t="s">
        <v>779</v>
      </c>
      <c r="H149" t="s">
        <v>15</v>
      </c>
      <c r="I149" s="1" t="s">
        <v>77</v>
      </c>
      <c r="J149" s="6"/>
    </row>
    <row r="150" spans="1:10" ht="28.5" x14ac:dyDescent="0.2">
      <c r="A150" s="1" t="s">
        <v>1934</v>
      </c>
      <c r="B150" s="6">
        <v>5.6</v>
      </c>
      <c r="C150" s="6" t="s">
        <v>7</v>
      </c>
      <c r="D150" s="6" t="str">
        <f>"9/63"</f>
        <v>9/63</v>
      </c>
      <c r="E150" s="6">
        <v>1.1000000000000001</v>
      </c>
      <c r="F150" s="6" t="s">
        <v>1935</v>
      </c>
      <c r="G150" s="6" t="s">
        <v>1936</v>
      </c>
      <c r="H150" t="s">
        <v>27</v>
      </c>
      <c r="I150" s="1" t="s">
        <v>512</v>
      </c>
      <c r="J150" s="6"/>
    </row>
    <row r="151" spans="1:10" ht="28.5" x14ac:dyDescent="0.2">
      <c r="A151" s="1" t="s">
        <v>2006</v>
      </c>
      <c r="B151" s="6">
        <v>5.6</v>
      </c>
      <c r="C151" s="6" t="s">
        <v>24</v>
      </c>
      <c r="D151" s="6" t="str">
        <f>"17/65"</f>
        <v>17/65</v>
      </c>
      <c r="E151" s="6">
        <v>1.3</v>
      </c>
      <c r="F151" s="6" t="s">
        <v>2007</v>
      </c>
      <c r="G151" s="6" t="s">
        <v>2008</v>
      </c>
      <c r="H151" t="s">
        <v>27</v>
      </c>
      <c r="I151" s="1" t="s">
        <v>512</v>
      </c>
      <c r="J151" s="6"/>
    </row>
    <row r="152" spans="1:10" ht="42.75" x14ac:dyDescent="0.2">
      <c r="A152" s="1" t="s">
        <v>2784</v>
      </c>
      <c r="B152" s="6">
        <v>5.6</v>
      </c>
      <c r="C152" s="6" t="s">
        <v>7</v>
      </c>
      <c r="D152" s="6" t="str">
        <f>"3/34"</f>
        <v>3/34</v>
      </c>
      <c r="E152" s="6">
        <v>1.2</v>
      </c>
      <c r="F152" s="6" t="s">
        <v>2785</v>
      </c>
      <c r="G152" s="6" t="s">
        <v>2786</v>
      </c>
      <c r="H152" t="s">
        <v>319</v>
      </c>
      <c r="I152" s="1" t="s">
        <v>1428</v>
      </c>
      <c r="J152" s="6"/>
    </row>
    <row r="153" spans="1:10" x14ac:dyDescent="0.2">
      <c r="A153" s="1" t="s">
        <v>1503</v>
      </c>
      <c r="B153" s="6">
        <v>5.5</v>
      </c>
      <c r="C153" s="6" t="s">
        <v>7</v>
      </c>
      <c r="D153" s="6" t="str">
        <f>"16/136"</f>
        <v>16/136</v>
      </c>
      <c r="E153" s="6">
        <v>2</v>
      </c>
      <c r="F153" s="6" t="s">
        <v>1504</v>
      </c>
      <c r="G153" s="6" t="s">
        <v>1505</v>
      </c>
      <c r="H153" t="s">
        <v>27</v>
      </c>
      <c r="I153" s="1" t="s">
        <v>69</v>
      </c>
      <c r="J153" s="6"/>
    </row>
    <row r="154" spans="1:10" x14ac:dyDescent="0.2">
      <c r="A154" s="1" t="s">
        <v>1766</v>
      </c>
      <c r="B154" s="6">
        <v>5.5</v>
      </c>
      <c r="C154" s="6" t="s">
        <v>24</v>
      </c>
      <c r="D154" s="6" t="str">
        <f>"29/110"</f>
        <v>29/110</v>
      </c>
      <c r="E154" s="6">
        <v>0.8</v>
      </c>
      <c r="F154" s="6" t="s">
        <v>1767</v>
      </c>
      <c r="G154" s="6" t="s">
        <v>1768</v>
      </c>
      <c r="H154" t="s">
        <v>15</v>
      </c>
      <c r="I154" s="1" t="s">
        <v>248</v>
      </c>
      <c r="J154" s="6"/>
    </row>
    <row r="155" spans="1:10" ht="28.5" x14ac:dyDescent="0.2">
      <c r="A155" s="1" t="s">
        <v>2073</v>
      </c>
      <c r="B155" s="6">
        <v>5.5</v>
      </c>
      <c r="C155" s="6" t="s">
        <v>7</v>
      </c>
      <c r="D155" s="6" t="str">
        <f>"58/275"</f>
        <v>58/275</v>
      </c>
      <c r="E155" s="6">
        <v>2</v>
      </c>
      <c r="F155" s="6" t="s">
        <v>2074</v>
      </c>
      <c r="G155" s="6" t="s">
        <v>2075</v>
      </c>
      <c r="H155" t="s">
        <v>27</v>
      </c>
      <c r="I155" s="1" t="s">
        <v>512</v>
      </c>
      <c r="J155" s="6"/>
    </row>
    <row r="156" spans="1:10" x14ac:dyDescent="0.2">
      <c r="A156" s="1" t="s">
        <v>2307</v>
      </c>
      <c r="B156" s="6">
        <v>5.5</v>
      </c>
      <c r="C156" s="6" t="s">
        <v>7</v>
      </c>
      <c r="D156" s="6" t="str">
        <f>"19/139"</f>
        <v>19/139</v>
      </c>
      <c r="E156" s="6">
        <v>1.4</v>
      </c>
      <c r="F156" s="6" t="s">
        <v>2308</v>
      </c>
      <c r="G156" s="6" t="s">
        <v>2309</v>
      </c>
      <c r="H156" t="s">
        <v>15</v>
      </c>
      <c r="I156" s="1" t="s">
        <v>77</v>
      </c>
      <c r="J156" s="6"/>
    </row>
    <row r="157" spans="1:10" x14ac:dyDescent="0.2">
      <c r="A157" s="1" t="s">
        <v>2361</v>
      </c>
      <c r="B157" s="6">
        <v>5.5</v>
      </c>
      <c r="C157" s="6" t="s">
        <v>24</v>
      </c>
      <c r="D157" s="6" t="str">
        <f>"51/119"</f>
        <v>51/119</v>
      </c>
      <c r="E157" s="6">
        <v>1</v>
      </c>
      <c r="F157" s="6" t="s">
        <v>2362</v>
      </c>
      <c r="G157" s="6" t="s">
        <v>2363</v>
      </c>
      <c r="H157" t="s">
        <v>327</v>
      </c>
      <c r="I157" s="1" t="s">
        <v>103</v>
      </c>
      <c r="J157" s="6"/>
    </row>
    <row r="158" spans="1:10" x14ac:dyDescent="0.2">
      <c r="A158" s="1" t="s">
        <v>2584</v>
      </c>
      <c r="B158" s="6">
        <v>5.5</v>
      </c>
      <c r="C158" s="6" t="s">
        <v>7</v>
      </c>
      <c r="D158" s="6" t="str">
        <f>"8/63"</f>
        <v>8/63</v>
      </c>
      <c r="E158" s="6">
        <v>1.4</v>
      </c>
      <c r="F158" s="6" t="s">
        <v>2585</v>
      </c>
      <c r="G158" s="6" t="s">
        <v>2586</v>
      </c>
      <c r="H158" t="s">
        <v>51</v>
      </c>
      <c r="I158" s="1" t="s">
        <v>2197</v>
      </c>
      <c r="J158" s="6"/>
    </row>
    <row r="159" spans="1:10" x14ac:dyDescent="0.2">
      <c r="A159" s="1" t="s">
        <v>180</v>
      </c>
      <c r="B159" s="6">
        <v>5.4</v>
      </c>
      <c r="C159" s="6" t="s">
        <v>7</v>
      </c>
      <c r="D159" s="6" t="str">
        <f>"61/275"</f>
        <v>61/275</v>
      </c>
      <c r="E159" s="6">
        <v>1.3</v>
      </c>
      <c r="F159" s="6" t="s">
        <v>181</v>
      </c>
      <c r="G159" s="6" t="s">
        <v>181</v>
      </c>
      <c r="H159" t="s">
        <v>102</v>
      </c>
      <c r="I159" s="1" t="s">
        <v>103</v>
      </c>
      <c r="J159" s="6"/>
    </row>
    <row r="160" spans="1:10" x14ac:dyDescent="0.2">
      <c r="A160" s="1" t="s">
        <v>213</v>
      </c>
      <c r="B160" s="6">
        <v>5.4</v>
      </c>
      <c r="C160" s="6" t="s">
        <v>7</v>
      </c>
      <c r="D160" s="6" t="str">
        <f>"20/139"</f>
        <v>20/139</v>
      </c>
      <c r="E160" s="6">
        <v>1</v>
      </c>
      <c r="F160" s="6" t="s">
        <v>214</v>
      </c>
      <c r="G160" s="6" t="s">
        <v>215</v>
      </c>
      <c r="H160" t="s">
        <v>27</v>
      </c>
      <c r="I160" s="1" t="s">
        <v>216</v>
      </c>
      <c r="J160" s="6"/>
    </row>
    <row r="161" spans="1:10" ht="28.5" x14ac:dyDescent="0.2">
      <c r="A161" s="1" t="s">
        <v>1855</v>
      </c>
      <c r="B161" s="6">
        <v>5.4</v>
      </c>
      <c r="C161" s="6" t="s">
        <v>7</v>
      </c>
      <c r="D161" s="6" t="str">
        <f>"3/31"</f>
        <v>3/31</v>
      </c>
      <c r="E161" s="6">
        <v>1</v>
      </c>
      <c r="F161" s="6" t="s">
        <v>1856</v>
      </c>
      <c r="G161" s="6" t="s">
        <v>1857</v>
      </c>
      <c r="H161" t="s">
        <v>27</v>
      </c>
      <c r="I161" s="1" t="s">
        <v>512</v>
      </c>
      <c r="J161" s="6"/>
    </row>
    <row r="162" spans="1:10" ht="28.5" x14ac:dyDescent="0.2">
      <c r="A162" s="1" t="s">
        <v>1884</v>
      </c>
      <c r="B162" s="6">
        <v>5.4</v>
      </c>
      <c r="C162" s="6" t="s">
        <v>7</v>
      </c>
      <c r="D162" s="6" t="str">
        <f>"61/275"</f>
        <v>61/275</v>
      </c>
      <c r="E162" s="6">
        <v>1</v>
      </c>
      <c r="F162" s="6" t="s">
        <v>1885</v>
      </c>
      <c r="G162" s="6" t="s">
        <v>1886</v>
      </c>
      <c r="H162" t="s">
        <v>27</v>
      </c>
      <c r="I162" s="1" t="s">
        <v>512</v>
      </c>
      <c r="J162" s="6"/>
    </row>
    <row r="163" spans="1:10" ht="28.5" x14ac:dyDescent="0.2">
      <c r="A163" s="1" t="s">
        <v>1985</v>
      </c>
      <c r="B163" s="6">
        <v>5.4</v>
      </c>
      <c r="C163" s="6" t="s">
        <v>7</v>
      </c>
      <c r="D163" s="6" t="str">
        <f>"61/275"</f>
        <v>61/275</v>
      </c>
      <c r="E163" s="6">
        <v>0.6</v>
      </c>
      <c r="F163" s="6" t="s">
        <v>1986</v>
      </c>
      <c r="G163" s="6" t="s">
        <v>1987</v>
      </c>
      <c r="H163" t="s">
        <v>27</v>
      </c>
      <c r="I163" s="1" t="s">
        <v>512</v>
      </c>
      <c r="J163" s="6"/>
    </row>
    <row r="164" spans="1:10" ht="28.5" x14ac:dyDescent="0.2">
      <c r="A164" s="1" t="s">
        <v>2058</v>
      </c>
      <c r="B164" s="6">
        <v>5.4</v>
      </c>
      <c r="C164" s="6" t="s">
        <v>7</v>
      </c>
      <c r="D164" s="6" t="str">
        <f>"61/275"</f>
        <v>61/275</v>
      </c>
      <c r="E164" s="6">
        <v>1.3</v>
      </c>
      <c r="F164" s="6" t="s">
        <v>2059</v>
      </c>
      <c r="G164" s="6" t="s">
        <v>2060</v>
      </c>
      <c r="H164" t="s">
        <v>27</v>
      </c>
      <c r="I164" s="1" t="s">
        <v>512</v>
      </c>
      <c r="J164" s="6"/>
    </row>
    <row r="165" spans="1:10" x14ac:dyDescent="0.2">
      <c r="A165" s="1" t="s">
        <v>2322</v>
      </c>
      <c r="B165" s="6">
        <v>5.4</v>
      </c>
      <c r="C165" s="6" t="s">
        <v>7</v>
      </c>
      <c r="D165" s="6" t="str">
        <f>"14/137"</f>
        <v>14/137</v>
      </c>
      <c r="E165" s="6">
        <v>1.3</v>
      </c>
      <c r="F165" s="6" t="s">
        <v>2323</v>
      </c>
      <c r="G165" s="6" t="s">
        <v>2324</v>
      </c>
      <c r="H165" t="s">
        <v>15</v>
      </c>
      <c r="I165" s="1" t="s">
        <v>40</v>
      </c>
      <c r="J165" s="6"/>
    </row>
    <row r="166" spans="1:10" x14ac:dyDescent="0.2">
      <c r="A166" s="1" t="s">
        <v>100</v>
      </c>
      <c r="B166" s="6">
        <v>5.3</v>
      </c>
      <c r="C166" s="6" t="s">
        <v>7</v>
      </c>
      <c r="D166" s="6" t="str">
        <f>"21/139"</f>
        <v>21/139</v>
      </c>
      <c r="E166" s="6">
        <v>1.1000000000000001</v>
      </c>
      <c r="F166" s="6" t="s">
        <v>101</v>
      </c>
      <c r="G166" s="6" t="s">
        <v>101</v>
      </c>
      <c r="H166" t="s">
        <v>102</v>
      </c>
      <c r="I166" s="1" t="s">
        <v>103</v>
      </c>
      <c r="J166" s="6"/>
    </row>
    <row r="167" spans="1:10" x14ac:dyDescent="0.2">
      <c r="A167" s="1" t="s">
        <v>153</v>
      </c>
      <c r="B167" s="6">
        <v>5.3</v>
      </c>
      <c r="C167" s="6" t="s">
        <v>7</v>
      </c>
      <c r="D167" s="6" t="str">
        <f>"15/137"</f>
        <v>15/137</v>
      </c>
      <c r="E167" s="6">
        <v>1.5</v>
      </c>
      <c r="F167" s="6" t="s">
        <v>154</v>
      </c>
      <c r="G167" s="6" t="s">
        <v>155</v>
      </c>
      <c r="H167" t="s">
        <v>102</v>
      </c>
      <c r="I167" s="1" t="s">
        <v>103</v>
      </c>
      <c r="J167" s="6"/>
    </row>
    <row r="168" spans="1:10" x14ac:dyDescent="0.2">
      <c r="A168" s="1" t="s">
        <v>405</v>
      </c>
      <c r="B168" s="6">
        <v>5.3</v>
      </c>
      <c r="C168" s="6" t="s">
        <v>7</v>
      </c>
      <c r="D168" s="6" t="str">
        <f>"4/34"</f>
        <v>4/34</v>
      </c>
      <c r="E168" s="6">
        <v>1.1000000000000001</v>
      </c>
      <c r="F168" s="6" t="s">
        <v>406</v>
      </c>
      <c r="G168" s="6" t="s">
        <v>406</v>
      </c>
      <c r="H168" t="s">
        <v>51</v>
      </c>
      <c r="I168" s="1" t="s">
        <v>52</v>
      </c>
      <c r="J168" s="6"/>
    </row>
    <row r="169" spans="1:10" x14ac:dyDescent="0.2">
      <c r="A169" s="1" t="s">
        <v>917</v>
      </c>
      <c r="B169" s="6">
        <v>5.3</v>
      </c>
      <c r="C169" s="6" t="s">
        <v>7</v>
      </c>
      <c r="D169" s="6" t="str">
        <f>"15/137"</f>
        <v>15/137</v>
      </c>
      <c r="E169" s="6">
        <v>1.1000000000000001</v>
      </c>
      <c r="F169" s="6" t="s">
        <v>918</v>
      </c>
      <c r="G169" s="6" t="s">
        <v>919</v>
      </c>
      <c r="H169" t="s">
        <v>27</v>
      </c>
      <c r="I169" s="1" t="s">
        <v>40</v>
      </c>
      <c r="J169" s="6"/>
    </row>
    <row r="170" spans="1:10" x14ac:dyDescent="0.2">
      <c r="A170" s="1" t="s">
        <v>2373</v>
      </c>
      <c r="B170" s="6">
        <v>5.3</v>
      </c>
      <c r="C170" s="6" t="s">
        <v>7</v>
      </c>
      <c r="D170" s="6" t="str">
        <f>"28/142"</f>
        <v>28/142</v>
      </c>
      <c r="E170" s="6">
        <v>1.2</v>
      </c>
      <c r="F170" s="6" t="s">
        <v>2374</v>
      </c>
      <c r="G170" s="6" t="s">
        <v>2375</v>
      </c>
      <c r="H170" t="s">
        <v>27</v>
      </c>
      <c r="I170" s="1" t="s">
        <v>2376</v>
      </c>
      <c r="J170" s="6"/>
    </row>
    <row r="171" spans="1:10" x14ac:dyDescent="0.2">
      <c r="A171" s="1" t="s">
        <v>2722</v>
      </c>
      <c r="B171" s="6">
        <v>5.3</v>
      </c>
      <c r="C171" s="6" t="s">
        <v>24</v>
      </c>
      <c r="D171" s="6" t="str">
        <f>"48/145"</f>
        <v>48/145</v>
      </c>
      <c r="E171" s="6">
        <v>0.8</v>
      </c>
      <c r="F171" s="6" t="s">
        <v>2723</v>
      </c>
      <c r="G171" s="6" t="s">
        <v>2724</v>
      </c>
      <c r="H171" t="s">
        <v>102</v>
      </c>
      <c r="I171" s="1" t="s">
        <v>133</v>
      </c>
      <c r="J171" s="6"/>
    </row>
    <row r="172" spans="1:10" x14ac:dyDescent="0.2">
      <c r="A172" s="1" t="s">
        <v>736</v>
      </c>
      <c r="B172" s="6">
        <v>5.2</v>
      </c>
      <c r="C172" s="6" t="s">
        <v>7</v>
      </c>
      <c r="D172" s="6" t="str">
        <f>"19/136"</f>
        <v>19/136</v>
      </c>
      <c r="E172" s="6">
        <v>1.2</v>
      </c>
      <c r="F172" s="6" t="s">
        <v>737</v>
      </c>
      <c r="G172" s="6" t="s">
        <v>738</v>
      </c>
      <c r="H172" t="s">
        <v>15</v>
      </c>
      <c r="I172" s="1" t="s">
        <v>40</v>
      </c>
      <c r="J172" s="6"/>
    </row>
    <row r="173" spans="1:10" x14ac:dyDescent="0.2">
      <c r="A173" s="1" t="s">
        <v>1583</v>
      </c>
      <c r="B173" s="6">
        <v>5.2</v>
      </c>
      <c r="C173" s="6" t="s">
        <v>7</v>
      </c>
      <c r="D173" s="6" t="str">
        <f>"17/137"</f>
        <v>17/137</v>
      </c>
      <c r="E173" s="6">
        <v>1.5</v>
      </c>
      <c r="F173" s="6" t="s">
        <v>1584</v>
      </c>
      <c r="G173" s="6" t="s">
        <v>1585</v>
      </c>
      <c r="H173" t="s">
        <v>15</v>
      </c>
      <c r="I173" s="1" t="s">
        <v>40</v>
      </c>
      <c r="J173" s="6"/>
    </row>
    <row r="174" spans="1:10" x14ac:dyDescent="0.2">
      <c r="A174" s="1" t="s">
        <v>1626</v>
      </c>
      <c r="B174" s="6">
        <v>5.2</v>
      </c>
      <c r="C174" s="6" t="s">
        <v>7</v>
      </c>
      <c r="D174" s="6" t="str">
        <f>"67/275"</f>
        <v>67/275</v>
      </c>
      <c r="E174" s="6">
        <v>1.5</v>
      </c>
      <c r="F174" s="6" t="s">
        <v>1627</v>
      </c>
      <c r="G174" s="6" t="s">
        <v>1628</v>
      </c>
      <c r="H174" t="s">
        <v>15</v>
      </c>
      <c r="I174" s="1" t="s">
        <v>77</v>
      </c>
      <c r="J174" s="6"/>
    </row>
    <row r="175" spans="1:10" ht="28.5" x14ac:dyDescent="0.2">
      <c r="A175" s="1" t="s">
        <v>2033</v>
      </c>
      <c r="B175" s="6">
        <v>5.2</v>
      </c>
      <c r="C175" s="6" t="s">
        <v>24</v>
      </c>
      <c r="D175" s="6" t="str">
        <f>"10/30"</f>
        <v>10/30</v>
      </c>
      <c r="E175" s="6">
        <v>1</v>
      </c>
      <c r="F175" s="6" t="s">
        <v>2034</v>
      </c>
      <c r="G175" s="6" t="s">
        <v>2034</v>
      </c>
      <c r="H175" t="s">
        <v>27</v>
      </c>
      <c r="I175" s="1" t="s">
        <v>512</v>
      </c>
      <c r="J175" s="6"/>
    </row>
    <row r="176" spans="1:10" x14ac:dyDescent="0.2">
      <c r="A176" s="1" t="s">
        <v>2359</v>
      </c>
      <c r="B176" s="6">
        <v>5.2</v>
      </c>
      <c r="C176" s="6" t="s">
        <v>24</v>
      </c>
      <c r="D176" s="6" t="str">
        <f>"55/119"</f>
        <v>55/119</v>
      </c>
      <c r="E176" s="6">
        <v>1.4</v>
      </c>
      <c r="F176" s="6" t="s">
        <v>2360</v>
      </c>
      <c r="G176" s="6" t="s">
        <v>2360</v>
      </c>
      <c r="H176" t="s">
        <v>102</v>
      </c>
      <c r="I176" s="1" t="s">
        <v>103</v>
      </c>
      <c r="J176" s="6"/>
    </row>
    <row r="177" spans="1:10" x14ac:dyDescent="0.2">
      <c r="A177" s="1" t="s">
        <v>2807</v>
      </c>
      <c r="B177" s="6">
        <v>5.2</v>
      </c>
      <c r="C177" s="6" t="s">
        <v>24</v>
      </c>
      <c r="D177" s="6" t="str">
        <f>"16/50"</f>
        <v>16/50</v>
      </c>
      <c r="E177" s="6">
        <v>0.9</v>
      </c>
      <c r="F177" s="6" t="s">
        <v>2808</v>
      </c>
      <c r="G177" s="6" t="s">
        <v>2809</v>
      </c>
      <c r="H177" t="s">
        <v>51</v>
      </c>
      <c r="I177" s="1" t="s">
        <v>133</v>
      </c>
      <c r="J177" s="6"/>
    </row>
    <row r="178" spans="1:10" x14ac:dyDescent="0.2">
      <c r="A178" s="1" t="s">
        <v>549</v>
      </c>
      <c r="B178" s="6">
        <v>5.0999999999999996</v>
      </c>
      <c r="C178" s="6" t="s">
        <v>24</v>
      </c>
      <c r="D178" s="6" t="str">
        <f>"52/145"</f>
        <v>52/145</v>
      </c>
      <c r="E178" s="6">
        <v>0.9</v>
      </c>
      <c r="F178" s="6" t="s">
        <v>550</v>
      </c>
      <c r="G178" s="6" t="s">
        <v>551</v>
      </c>
      <c r="H178" t="s">
        <v>102</v>
      </c>
      <c r="I178" s="1" t="s">
        <v>103</v>
      </c>
      <c r="J178" s="6"/>
    </row>
    <row r="179" spans="1:10" x14ac:dyDescent="0.2">
      <c r="A179" s="1" t="s">
        <v>1307</v>
      </c>
      <c r="B179" s="6">
        <v>5.0999999999999996</v>
      </c>
      <c r="C179" s="6" t="s">
        <v>7</v>
      </c>
      <c r="D179" s="6" t="str">
        <f>"22/139"</f>
        <v>22/139</v>
      </c>
      <c r="E179" s="6">
        <v>1.2</v>
      </c>
      <c r="F179" s="6" t="s">
        <v>1308</v>
      </c>
      <c r="G179" s="6" t="s">
        <v>1309</v>
      </c>
      <c r="H179" t="s">
        <v>27</v>
      </c>
      <c r="I179" s="1" t="s">
        <v>677</v>
      </c>
      <c r="J179" s="6"/>
    </row>
    <row r="180" spans="1:10" x14ac:dyDescent="0.2">
      <c r="A180" s="1" t="s">
        <v>1568</v>
      </c>
      <c r="B180" s="6">
        <v>5.0999999999999996</v>
      </c>
      <c r="C180" s="6" t="s">
        <v>7</v>
      </c>
      <c r="D180" s="6" t="str">
        <f>"18/137"</f>
        <v>18/137</v>
      </c>
      <c r="E180" s="6">
        <v>1.5</v>
      </c>
      <c r="F180" s="6" t="s">
        <v>1569</v>
      </c>
      <c r="G180" s="6" t="s">
        <v>1570</v>
      </c>
      <c r="H180" t="s">
        <v>15</v>
      </c>
      <c r="I180" s="1" t="s">
        <v>40</v>
      </c>
      <c r="J180" s="6"/>
    </row>
    <row r="181" spans="1:10" ht="28.5" x14ac:dyDescent="0.2">
      <c r="A181" s="1" t="s">
        <v>1994</v>
      </c>
      <c r="B181" s="6">
        <v>5.0999999999999996</v>
      </c>
      <c r="C181" s="6" t="s">
        <v>7</v>
      </c>
      <c r="D181" s="6" t="str">
        <f>"68/275"</f>
        <v>68/275</v>
      </c>
      <c r="E181" s="6">
        <v>0.7</v>
      </c>
      <c r="F181" s="6" t="s">
        <v>1995</v>
      </c>
      <c r="G181" s="6" t="s">
        <v>1996</v>
      </c>
      <c r="H181" t="s">
        <v>27</v>
      </c>
      <c r="I181" s="1" t="s">
        <v>512</v>
      </c>
      <c r="J181" s="6"/>
    </row>
    <row r="182" spans="1:10" ht="28.5" x14ac:dyDescent="0.2">
      <c r="A182" s="1" t="s">
        <v>2003</v>
      </c>
      <c r="B182" s="6">
        <v>5.0999999999999996</v>
      </c>
      <c r="C182" s="6" t="s">
        <v>7</v>
      </c>
      <c r="D182" s="6" t="str">
        <f>"68/275"</f>
        <v>68/275</v>
      </c>
      <c r="E182" s="6">
        <v>0.6</v>
      </c>
      <c r="F182" s="6" t="s">
        <v>2004</v>
      </c>
      <c r="G182" s="6" t="s">
        <v>2005</v>
      </c>
      <c r="H182" t="s">
        <v>27</v>
      </c>
      <c r="I182" s="1" t="s">
        <v>512</v>
      </c>
      <c r="J182" s="6"/>
    </row>
    <row r="183" spans="1:10" x14ac:dyDescent="0.2">
      <c r="A183" s="1" t="s">
        <v>2451</v>
      </c>
      <c r="B183" s="6">
        <v>5.0999999999999996</v>
      </c>
      <c r="C183" s="6" t="s">
        <v>7</v>
      </c>
      <c r="D183" s="6" t="str">
        <f>"17/90"</f>
        <v>17/90</v>
      </c>
      <c r="E183" s="6">
        <v>3</v>
      </c>
      <c r="F183" s="6" t="s">
        <v>2452</v>
      </c>
      <c r="G183" s="6" t="s">
        <v>2453</v>
      </c>
      <c r="H183" t="s">
        <v>51</v>
      </c>
      <c r="I183" s="1" t="s">
        <v>52</v>
      </c>
      <c r="J183" s="6"/>
    </row>
    <row r="184" spans="1:10" x14ac:dyDescent="0.2">
      <c r="A184" s="1" t="s">
        <v>2604</v>
      </c>
      <c r="B184" s="6">
        <v>5.0999999999999996</v>
      </c>
      <c r="C184" s="6" t="s">
        <v>24</v>
      </c>
      <c r="D184" s="6" t="str">
        <f>"26/96"</f>
        <v>26/96</v>
      </c>
      <c r="E184" s="6">
        <v>1.1000000000000001</v>
      </c>
      <c r="F184" s="6" t="s">
        <v>2605</v>
      </c>
      <c r="G184" s="6" t="s">
        <v>2606</v>
      </c>
      <c r="H184" t="s">
        <v>15</v>
      </c>
      <c r="I184" s="1" t="s">
        <v>77</v>
      </c>
      <c r="J184" s="6"/>
    </row>
    <row r="185" spans="1:10" x14ac:dyDescent="0.2">
      <c r="A185" s="1" t="s">
        <v>437</v>
      </c>
      <c r="B185" s="6">
        <v>5</v>
      </c>
      <c r="C185" s="6" t="s">
        <v>7</v>
      </c>
      <c r="D185" s="6" t="str">
        <f>"19/86"</f>
        <v>19/86</v>
      </c>
      <c r="E185" s="6">
        <v>1.2</v>
      </c>
      <c r="F185" s="6" t="s">
        <v>438</v>
      </c>
      <c r="G185" s="6" t="s">
        <v>439</v>
      </c>
      <c r="H185" t="s">
        <v>27</v>
      </c>
      <c r="I185" s="1" t="s">
        <v>16</v>
      </c>
      <c r="J185" s="6"/>
    </row>
    <row r="186" spans="1:10" x14ac:dyDescent="0.2">
      <c r="A186" s="1" t="s">
        <v>580</v>
      </c>
      <c r="B186" s="6">
        <v>5</v>
      </c>
      <c r="C186" s="6" t="s">
        <v>7</v>
      </c>
      <c r="D186" s="6" t="str">
        <f>"18/100"</f>
        <v>18/100</v>
      </c>
      <c r="E186" s="6">
        <v>1.1000000000000001</v>
      </c>
      <c r="F186" s="6" t="s">
        <v>581</v>
      </c>
      <c r="G186" s="6" t="s">
        <v>582</v>
      </c>
      <c r="H186" t="s">
        <v>15</v>
      </c>
      <c r="I186" s="1" t="s">
        <v>77</v>
      </c>
      <c r="J186" s="6"/>
    </row>
    <row r="187" spans="1:10" x14ac:dyDescent="0.2">
      <c r="A187" s="1" t="s">
        <v>608</v>
      </c>
      <c r="B187" s="6">
        <v>5</v>
      </c>
      <c r="C187" s="6" t="s">
        <v>7</v>
      </c>
      <c r="D187" s="6" t="str">
        <f>"3/63"</f>
        <v>3/63</v>
      </c>
      <c r="E187" s="6">
        <v>1</v>
      </c>
      <c r="F187" s="6" t="s">
        <v>609</v>
      </c>
      <c r="G187" s="6" t="s">
        <v>610</v>
      </c>
      <c r="H187" t="s">
        <v>15</v>
      </c>
      <c r="I187" s="1" t="s">
        <v>40</v>
      </c>
      <c r="J187" s="6"/>
    </row>
    <row r="188" spans="1:10" x14ac:dyDescent="0.2">
      <c r="A188" s="1" t="s">
        <v>695</v>
      </c>
      <c r="B188" s="6">
        <v>5</v>
      </c>
      <c r="C188" s="6" t="s">
        <v>7</v>
      </c>
      <c r="D188" s="6" t="str">
        <f>"10/79"</f>
        <v>10/79</v>
      </c>
      <c r="E188" s="6">
        <v>1</v>
      </c>
      <c r="F188" s="6" t="s">
        <v>696</v>
      </c>
      <c r="G188" s="6" t="s">
        <v>697</v>
      </c>
      <c r="H188" t="s">
        <v>27</v>
      </c>
      <c r="I188" s="1" t="s">
        <v>69</v>
      </c>
      <c r="J188" s="6"/>
    </row>
    <row r="189" spans="1:10" x14ac:dyDescent="0.2">
      <c r="A189" s="1" t="s">
        <v>2289</v>
      </c>
      <c r="B189" s="6">
        <v>5</v>
      </c>
      <c r="C189" s="6" t="s">
        <v>7</v>
      </c>
      <c r="D189" s="6" t="str">
        <f>"16/103"</f>
        <v>16/103</v>
      </c>
      <c r="E189" s="6">
        <v>0.6</v>
      </c>
      <c r="F189" s="6" t="s">
        <v>2290</v>
      </c>
      <c r="G189" s="6" t="s">
        <v>2291</v>
      </c>
      <c r="H189" t="s">
        <v>15</v>
      </c>
      <c r="I189" s="1" t="s">
        <v>2292</v>
      </c>
      <c r="J189" s="6"/>
    </row>
    <row r="190" spans="1:10" x14ac:dyDescent="0.2">
      <c r="A190" s="1" t="s">
        <v>2719</v>
      </c>
      <c r="B190" s="6">
        <v>5</v>
      </c>
      <c r="C190" s="6" t="s">
        <v>7</v>
      </c>
      <c r="D190" s="6" t="str">
        <f>"10/107"</f>
        <v>10/107</v>
      </c>
      <c r="E190" s="6">
        <v>1.1000000000000001</v>
      </c>
      <c r="F190" s="6" t="s">
        <v>2720</v>
      </c>
      <c r="G190" s="6" t="s">
        <v>2721</v>
      </c>
      <c r="H190" t="s">
        <v>27</v>
      </c>
      <c r="I190" s="1" t="s">
        <v>194</v>
      </c>
      <c r="J190" s="6"/>
    </row>
    <row r="191" spans="1:10" x14ac:dyDescent="0.2">
      <c r="A191" s="1" t="s">
        <v>174</v>
      </c>
      <c r="B191" s="6">
        <v>4.9000000000000004</v>
      </c>
      <c r="C191" s="6" t="s">
        <v>24</v>
      </c>
      <c r="D191" s="6" t="str">
        <f>"82/275"</f>
        <v>82/275</v>
      </c>
      <c r="E191" s="6">
        <v>1.8</v>
      </c>
      <c r="F191" s="6" t="s">
        <v>175</v>
      </c>
      <c r="G191" s="6" t="s">
        <v>175</v>
      </c>
      <c r="H191" t="s">
        <v>15</v>
      </c>
      <c r="I191" s="1" t="s">
        <v>176</v>
      </c>
      <c r="J191" s="6"/>
    </row>
    <row r="192" spans="1:10" x14ac:dyDescent="0.2">
      <c r="A192" s="1" t="s">
        <v>1319</v>
      </c>
      <c r="B192" s="6">
        <v>4.9000000000000004</v>
      </c>
      <c r="C192" s="6" t="s">
        <v>7</v>
      </c>
      <c r="D192" s="6" t="str">
        <f>"19/90"</f>
        <v>19/90</v>
      </c>
      <c r="E192" s="6">
        <v>1.8</v>
      </c>
      <c r="F192" s="6" t="s">
        <v>60</v>
      </c>
      <c r="G192" s="6" t="s">
        <v>1320</v>
      </c>
      <c r="H192" t="s">
        <v>15</v>
      </c>
      <c r="I192" s="1" t="s">
        <v>387</v>
      </c>
      <c r="J192" s="6"/>
    </row>
    <row r="193" spans="1:10" ht="28.5" x14ac:dyDescent="0.2">
      <c r="A193" s="1" t="s">
        <v>1914</v>
      </c>
      <c r="B193" s="6">
        <v>4.9000000000000004</v>
      </c>
      <c r="C193" s="6" t="s">
        <v>7</v>
      </c>
      <c r="D193" s="6" t="str">
        <f>"4/68"</f>
        <v>4/68</v>
      </c>
      <c r="E193" s="6">
        <v>0.8</v>
      </c>
      <c r="F193" s="6" t="s">
        <v>1915</v>
      </c>
      <c r="G193" s="6" t="s">
        <v>1916</v>
      </c>
      <c r="H193" t="s">
        <v>27</v>
      </c>
      <c r="I193" s="1" t="s">
        <v>512</v>
      </c>
      <c r="J193" s="6"/>
    </row>
    <row r="194" spans="1:10" ht="28.5" x14ac:dyDescent="0.2">
      <c r="A194" s="1" t="s">
        <v>1955</v>
      </c>
      <c r="B194" s="6">
        <v>4.9000000000000004</v>
      </c>
      <c r="C194" s="6" t="s">
        <v>24</v>
      </c>
      <c r="D194" s="6" t="str">
        <f>"70/275"</f>
        <v>70/275</v>
      </c>
      <c r="E194" s="6">
        <v>1.6</v>
      </c>
      <c r="F194" s="6" t="s">
        <v>1956</v>
      </c>
      <c r="G194" s="6" t="s">
        <v>1957</v>
      </c>
      <c r="H194" t="s">
        <v>27</v>
      </c>
      <c r="I194" s="1" t="s">
        <v>512</v>
      </c>
      <c r="J194" s="6"/>
    </row>
    <row r="195" spans="1:10" ht="28.5" x14ac:dyDescent="0.2">
      <c r="A195" s="1" t="s">
        <v>2064</v>
      </c>
      <c r="B195" s="6">
        <v>4.9000000000000004</v>
      </c>
      <c r="C195" s="6" t="s">
        <v>7</v>
      </c>
      <c r="D195" s="6" t="str">
        <f>"20/100"</f>
        <v>20/100</v>
      </c>
      <c r="E195" s="6">
        <v>2.6</v>
      </c>
      <c r="F195" s="6" t="s">
        <v>2065</v>
      </c>
      <c r="G195" s="6" t="s">
        <v>2066</v>
      </c>
      <c r="H195" t="s">
        <v>27</v>
      </c>
      <c r="I195" s="1" t="s">
        <v>512</v>
      </c>
      <c r="J195" s="6"/>
    </row>
    <row r="196" spans="1:10" ht="28.5" x14ac:dyDescent="0.2">
      <c r="A196" s="1" t="s">
        <v>2091</v>
      </c>
      <c r="B196" s="6">
        <v>4.9000000000000004</v>
      </c>
      <c r="C196" s="6" t="s">
        <v>24</v>
      </c>
      <c r="D196" s="6" t="str">
        <f>"70/275"</f>
        <v>70/275</v>
      </c>
      <c r="E196" s="6">
        <v>1</v>
      </c>
      <c r="F196" s="6" t="s">
        <v>2092</v>
      </c>
      <c r="G196" s="6" t="s">
        <v>2093</v>
      </c>
      <c r="H196" t="s">
        <v>27</v>
      </c>
      <c r="I196" s="1" t="s">
        <v>512</v>
      </c>
      <c r="J196" s="6"/>
    </row>
    <row r="197" spans="1:10" x14ac:dyDescent="0.2">
      <c r="A197" s="1" t="s">
        <v>2346</v>
      </c>
      <c r="B197" s="6">
        <v>4.9000000000000004</v>
      </c>
      <c r="C197" s="6" t="s">
        <v>24</v>
      </c>
      <c r="D197" s="6" t="str">
        <f>"58/119"</f>
        <v>58/119</v>
      </c>
      <c r="E197" s="6">
        <v>1.6</v>
      </c>
      <c r="F197" s="6" t="s">
        <v>2347</v>
      </c>
      <c r="G197" s="6" t="s">
        <v>2347</v>
      </c>
      <c r="H197" t="s">
        <v>15</v>
      </c>
      <c r="I197" s="1" t="s">
        <v>176</v>
      </c>
      <c r="J197" s="6"/>
    </row>
    <row r="198" spans="1:10" x14ac:dyDescent="0.2">
      <c r="A198" s="1" t="s">
        <v>2469</v>
      </c>
      <c r="B198" s="6">
        <v>4.9000000000000004</v>
      </c>
      <c r="C198" s="6" t="s">
        <v>24</v>
      </c>
      <c r="D198" s="6" t="str">
        <f>"70/275"</f>
        <v>70/275</v>
      </c>
      <c r="E198" s="6">
        <v>1.4</v>
      </c>
      <c r="F198" s="6" t="s">
        <v>2470</v>
      </c>
      <c r="G198" s="6" t="s">
        <v>2471</v>
      </c>
      <c r="H198" t="s">
        <v>15</v>
      </c>
      <c r="I198" s="1" t="s">
        <v>40</v>
      </c>
      <c r="J198" s="6"/>
    </row>
    <row r="199" spans="1:10" x14ac:dyDescent="0.2">
      <c r="A199" s="1" t="s">
        <v>146</v>
      </c>
      <c r="B199" s="6">
        <v>4.8</v>
      </c>
      <c r="C199" s="6" t="s">
        <v>7</v>
      </c>
      <c r="D199" s="6" t="str">
        <f>"20/137"</f>
        <v>20/137</v>
      </c>
      <c r="E199" s="6">
        <v>1.2</v>
      </c>
      <c r="F199" s="6" t="s">
        <v>147</v>
      </c>
      <c r="G199" s="6" t="s">
        <v>147</v>
      </c>
      <c r="H199" t="s">
        <v>15</v>
      </c>
      <c r="I199" s="1" t="s">
        <v>103</v>
      </c>
      <c r="J199" s="6"/>
    </row>
    <row r="200" spans="1:10" x14ac:dyDescent="0.2">
      <c r="A200" s="1" t="s">
        <v>858</v>
      </c>
      <c r="B200" s="6">
        <v>4.8</v>
      </c>
      <c r="C200" s="6" t="s">
        <v>7</v>
      </c>
      <c r="D200" s="6" t="str">
        <f>"20/137"</f>
        <v>20/137</v>
      </c>
      <c r="E200" s="6">
        <v>1.3</v>
      </c>
      <c r="F200" s="6" t="s">
        <v>859</v>
      </c>
      <c r="G200" s="6" t="s">
        <v>860</v>
      </c>
      <c r="H200" t="s">
        <v>102</v>
      </c>
      <c r="I200" s="1" t="s">
        <v>103</v>
      </c>
      <c r="J200" s="6"/>
    </row>
    <row r="201" spans="1:10" x14ac:dyDescent="0.2">
      <c r="A201" s="1" t="s">
        <v>1247</v>
      </c>
      <c r="B201" s="6">
        <v>4.8</v>
      </c>
      <c r="C201" s="6" t="s">
        <v>24</v>
      </c>
      <c r="D201" s="6" t="str">
        <f>"18/50"</f>
        <v>18/50</v>
      </c>
      <c r="E201" s="6">
        <v>0.6</v>
      </c>
      <c r="F201" s="6" t="s">
        <v>1248</v>
      </c>
      <c r="G201" s="6" t="s">
        <v>1249</v>
      </c>
      <c r="H201" t="s">
        <v>102</v>
      </c>
      <c r="I201" s="1" t="s">
        <v>103</v>
      </c>
      <c r="J201" s="6"/>
    </row>
    <row r="202" spans="1:10" x14ac:dyDescent="0.2">
      <c r="A202" s="1" t="s">
        <v>1551</v>
      </c>
      <c r="B202" s="6">
        <v>4.8</v>
      </c>
      <c r="C202" s="6" t="s">
        <v>24</v>
      </c>
      <c r="D202" s="6" t="str">
        <f>"87/275"</f>
        <v>87/275</v>
      </c>
      <c r="E202" s="6">
        <v>1.1000000000000001</v>
      </c>
      <c r="F202" s="6" t="s">
        <v>1552</v>
      </c>
      <c r="G202" s="6" t="s">
        <v>1553</v>
      </c>
      <c r="H202" t="s">
        <v>10</v>
      </c>
      <c r="I202" s="1" t="s">
        <v>361</v>
      </c>
      <c r="J202" s="6"/>
    </row>
    <row r="203" spans="1:10" ht="28.5" x14ac:dyDescent="0.2">
      <c r="A203" s="1" t="s">
        <v>1973</v>
      </c>
      <c r="B203" s="6">
        <v>4.8</v>
      </c>
      <c r="C203" s="6" t="s">
        <v>24</v>
      </c>
      <c r="D203" s="6" t="str">
        <f>"74/275"</f>
        <v>74/275</v>
      </c>
      <c r="E203" s="6">
        <v>1.2</v>
      </c>
      <c r="F203" s="6" t="s">
        <v>1974</v>
      </c>
      <c r="G203" s="6" t="s">
        <v>1975</v>
      </c>
      <c r="H203" t="s">
        <v>27</v>
      </c>
      <c r="I203" s="1" t="s">
        <v>512</v>
      </c>
      <c r="J203" s="6"/>
    </row>
    <row r="204" spans="1:10" ht="28.5" x14ac:dyDescent="0.2">
      <c r="A204" s="1" t="s">
        <v>2154</v>
      </c>
      <c r="B204" s="6">
        <v>4.8</v>
      </c>
      <c r="C204" s="6" t="s">
        <v>7</v>
      </c>
      <c r="D204" s="6" t="str">
        <f>"36/202"</f>
        <v>36/202</v>
      </c>
      <c r="E204" s="6">
        <v>1</v>
      </c>
      <c r="F204" s="6" t="s">
        <v>2155</v>
      </c>
      <c r="G204" s="6" t="s">
        <v>2156</v>
      </c>
      <c r="H204" t="s">
        <v>15</v>
      </c>
      <c r="I204" s="1" t="s">
        <v>44</v>
      </c>
      <c r="J204" s="6"/>
    </row>
    <row r="205" spans="1:10" x14ac:dyDescent="0.2">
      <c r="A205" s="1" t="s">
        <v>2532</v>
      </c>
      <c r="B205" s="6">
        <v>4.8</v>
      </c>
      <c r="C205" s="6" t="s">
        <v>24</v>
      </c>
      <c r="D205" s="6" t="str">
        <f>"18/50"</f>
        <v>18/50</v>
      </c>
      <c r="E205" s="6">
        <v>1.3</v>
      </c>
      <c r="F205" s="6" t="s">
        <v>2533</v>
      </c>
      <c r="G205" s="6" t="s">
        <v>2534</v>
      </c>
      <c r="H205" t="s">
        <v>102</v>
      </c>
      <c r="I205" s="1" t="s">
        <v>103</v>
      </c>
      <c r="J205" s="6"/>
    </row>
    <row r="206" spans="1:10" x14ac:dyDescent="0.2">
      <c r="A206" s="1" t="s">
        <v>2746</v>
      </c>
      <c r="B206" s="6">
        <v>4.8</v>
      </c>
      <c r="C206" s="6" t="s">
        <v>7</v>
      </c>
      <c r="D206" s="6" t="str">
        <f>"21/86"</f>
        <v>21/86</v>
      </c>
      <c r="E206" s="6">
        <v>1.4</v>
      </c>
      <c r="F206" s="6" t="s">
        <v>2747</v>
      </c>
      <c r="G206" s="6" t="s">
        <v>2748</v>
      </c>
      <c r="H206" t="s">
        <v>102</v>
      </c>
      <c r="I206" s="1" t="s">
        <v>133</v>
      </c>
      <c r="J206" s="6"/>
    </row>
    <row r="207" spans="1:10" ht="28.5" x14ac:dyDescent="0.2">
      <c r="A207" s="1" t="s">
        <v>977</v>
      </c>
      <c r="B207" s="6">
        <v>4.7</v>
      </c>
      <c r="C207" s="6" t="s">
        <v>7</v>
      </c>
      <c r="D207" s="6" t="str">
        <f>"4/31"</f>
        <v>4/31</v>
      </c>
      <c r="E207" s="6">
        <v>1</v>
      </c>
      <c r="F207" s="6" t="s">
        <v>978</v>
      </c>
      <c r="G207" s="6" t="s">
        <v>979</v>
      </c>
      <c r="H207" t="s">
        <v>27</v>
      </c>
      <c r="I207" s="1" t="s">
        <v>755</v>
      </c>
      <c r="J207" s="6"/>
    </row>
    <row r="208" spans="1:10" ht="28.5" x14ac:dyDescent="0.2">
      <c r="A208" s="1" t="s">
        <v>1136</v>
      </c>
      <c r="B208" s="6">
        <v>4.7</v>
      </c>
      <c r="C208" s="6" t="s">
        <v>7</v>
      </c>
      <c r="D208" s="6" t="str">
        <f>"22/100"</f>
        <v>22/100</v>
      </c>
      <c r="E208" s="6">
        <v>1.2</v>
      </c>
      <c r="F208" s="6" t="s">
        <v>1137</v>
      </c>
      <c r="G208" s="6" t="s">
        <v>1138</v>
      </c>
      <c r="H208" t="s">
        <v>27</v>
      </c>
      <c r="I208" s="1" t="s">
        <v>512</v>
      </c>
      <c r="J208" s="6"/>
    </row>
    <row r="209" spans="1:10" x14ac:dyDescent="0.2">
      <c r="A209" s="1" t="s">
        <v>1451</v>
      </c>
      <c r="B209" s="6">
        <v>4.7</v>
      </c>
      <c r="C209" s="6" t="s">
        <v>24</v>
      </c>
      <c r="D209" s="6" t="str">
        <f>"12/30"</f>
        <v>12/30</v>
      </c>
      <c r="E209" s="6">
        <v>0.6</v>
      </c>
      <c r="F209" s="6" t="s">
        <v>1452</v>
      </c>
      <c r="G209" s="6" t="s">
        <v>1453</v>
      </c>
      <c r="H209" t="s">
        <v>102</v>
      </c>
      <c r="I209" s="1" t="s">
        <v>133</v>
      </c>
      <c r="J209" s="6"/>
    </row>
    <row r="210" spans="1:10" x14ac:dyDescent="0.2">
      <c r="A210" s="1" t="s">
        <v>1779</v>
      </c>
      <c r="B210" s="6">
        <v>4.7</v>
      </c>
      <c r="C210" s="6" t="s">
        <v>7</v>
      </c>
      <c r="D210" s="6" t="str">
        <f>"20/108"</f>
        <v>20/108</v>
      </c>
      <c r="E210" s="6">
        <v>1.1000000000000001</v>
      </c>
      <c r="F210" s="6" t="s">
        <v>1780</v>
      </c>
      <c r="G210" s="6" t="s">
        <v>1781</v>
      </c>
      <c r="H210" t="s">
        <v>102</v>
      </c>
      <c r="I210" s="1" t="s">
        <v>103</v>
      </c>
      <c r="J210" s="6"/>
    </row>
    <row r="211" spans="1:10" x14ac:dyDescent="0.2">
      <c r="A211" s="1" t="s">
        <v>2169</v>
      </c>
      <c r="B211" s="6">
        <v>4.7</v>
      </c>
      <c r="C211" s="6" t="s">
        <v>24</v>
      </c>
      <c r="D211" s="6" t="str">
        <f>"22/86"</f>
        <v>22/86</v>
      </c>
      <c r="E211" s="6">
        <v>1.1000000000000001</v>
      </c>
      <c r="F211" s="6" t="s">
        <v>2170</v>
      </c>
      <c r="G211" s="6" t="s">
        <v>2171</v>
      </c>
      <c r="H211" t="s">
        <v>27</v>
      </c>
      <c r="I211" s="1" t="s">
        <v>133</v>
      </c>
      <c r="J211" s="6"/>
    </row>
    <row r="212" spans="1:10" x14ac:dyDescent="0.2">
      <c r="A212" s="1" t="s">
        <v>2229</v>
      </c>
      <c r="B212" s="6">
        <v>4.7</v>
      </c>
      <c r="C212" s="6" t="s">
        <v>7</v>
      </c>
      <c r="D212" s="6" t="str">
        <f>"22/137"</f>
        <v>22/137</v>
      </c>
      <c r="E212" s="6">
        <v>1</v>
      </c>
      <c r="F212" s="6" t="s">
        <v>2230</v>
      </c>
      <c r="G212" s="6" t="s">
        <v>2230</v>
      </c>
      <c r="H212" t="s">
        <v>102</v>
      </c>
      <c r="I212" s="1" t="s">
        <v>103</v>
      </c>
      <c r="J212" s="6"/>
    </row>
    <row r="213" spans="1:10" x14ac:dyDescent="0.2">
      <c r="A213" s="1" t="s">
        <v>2794</v>
      </c>
      <c r="B213" s="6">
        <v>4.7</v>
      </c>
      <c r="C213" s="6" t="s">
        <v>7</v>
      </c>
      <c r="D213" s="6" t="str">
        <f>"19/103"</f>
        <v>19/103</v>
      </c>
      <c r="E213" s="6">
        <v>1.2</v>
      </c>
      <c r="F213" s="6" t="s">
        <v>2795</v>
      </c>
      <c r="G213" s="6" t="s">
        <v>2796</v>
      </c>
      <c r="H213" t="s">
        <v>15</v>
      </c>
      <c r="I213" s="1" t="s">
        <v>77</v>
      </c>
      <c r="J213" s="6"/>
    </row>
    <row r="214" spans="1:10" x14ac:dyDescent="0.2">
      <c r="A214" s="1" t="s">
        <v>231</v>
      </c>
      <c r="B214" s="6">
        <v>4.5999999999999996</v>
      </c>
      <c r="C214" s="6" t="s">
        <v>7</v>
      </c>
      <c r="D214" s="6" t="str">
        <f>"27/139"</f>
        <v>27/139</v>
      </c>
      <c r="E214" s="6">
        <v>0.8</v>
      </c>
      <c r="F214" s="6" t="s">
        <v>232</v>
      </c>
      <c r="G214" s="6" t="s">
        <v>233</v>
      </c>
      <c r="H214" t="s">
        <v>21</v>
      </c>
      <c r="I214" s="1" t="s">
        <v>22</v>
      </c>
      <c r="J214" s="6"/>
    </row>
    <row r="215" spans="1:10" x14ac:dyDescent="0.2">
      <c r="A215" s="1" t="s">
        <v>289</v>
      </c>
      <c r="B215" s="6">
        <v>4.5999999999999996</v>
      </c>
      <c r="C215" s="6" t="s">
        <v>7</v>
      </c>
      <c r="D215" s="6" t="str">
        <f>"13/63"</f>
        <v>13/63</v>
      </c>
      <c r="E215" s="6">
        <v>1</v>
      </c>
      <c r="F215" s="6" t="s">
        <v>290</v>
      </c>
      <c r="G215" s="6" t="s">
        <v>291</v>
      </c>
      <c r="H215" t="s">
        <v>292</v>
      </c>
      <c r="I215" s="1" t="s">
        <v>293</v>
      </c>
      <c r="J215" s="6"/>
    </row>
    <row r="216" spans="1:10" x14ac:dyDescent="0.2">
      <c r="A216" s="1" t="s">
        <v>304</v>
      </c>
      <c r="B216" s="6">
        <v>4.5999999999999996</v>
      </c>
      <c r="C216" s="6" t="s">
        <v>7</v>
      </c>
      <c r="D216" s="6" t="str">
        <f>"21/90"</f>
        <v>21/90</v>
      </c>
      <c r="E216" s="6">
        <v>1.2</v>
      </c>
      <c r="F216" s="6" t="s">
        <v>305</v>
      </c>
      <c r="G216" s="6" t="s">
        <v>306</v>
      </c>
      <c r="H216" t="s">
        <v>51</v>
      </c>
      <c r="I216" s="1" t="s">
        <v>307</v>
      </c>
      <c r="J216" s="6"/>
    </row>
    <row r="217" spans="1:10" x14ac:dyDescent="0.2">
      <c r="A217" s="1" t="s">
        <v>577</v>
      </c>
      <c r="B217" s="6">
        <v>4.5999999999999996</v>
      </c>
      <c r="C217" s="6" t="s">
        <v>7</v>
      </c>
      <c r="D217" s="6" t="str">
        <f>"24/100"</f>
        <v>24/100</v>
      </c>
      <c r="E217" s="6">
        <v>0.7</v>
      </c>
      <c r="F217" s="6" t="s">
        <v>578</v>
      </c>
      <c r="G217" s="6" t="s">
        <v>579</v>
      </c>
      <c r="H217" t="s">
        <v>15</v>
      </c>
      <c r="I217" s="1" t="s">
        <v>77</v>
      </c>
      <c r="J217" s="6"/>
    </row>
    <row r="218" spans="1:10" x14ac:dyDescent="0.2">
      <c r="A218" s="1" t="s">
        <v>786</v>
      </c>
      <c r="B218" s="6">
        <v>4.5999999999999996</v>
      </c>
      <c r="C218" s="6" t="s">
        <v>7</v>
      </c>
      <c r="D218" s="6" t="str">
        <f>"4/267"</f>
        <v>4/267</v>
      </c>
      <c r="E218" s="6">
        <v>1.5</v>
      </c>
      <c r="F218" s="6" t="s">
        <v>787</v>
      </c>
      <c r="G218" s="6" t="s">
        <v>788</v>
      </c>
      <c r="H218" t="s">
        <v>102</v>
      </c>
      <c r="I218" s="1" t="s">
        <v>103</v>
      </c>
      <c r="J218" s="6"/>
    </row>
    <row r="219" spans="1:10" x14ac:dyDescent="0.2">
      <c r="A219" s="1" t="s">
        <v>1620</v>
      </c>
      <c r="B219" s="6">
        <v>4.5999999999999996</v>
      </c>
      <c r="C219" s="6" t="s">
        <v>7</v>
      </c>
      <c r="D219" s="6" t="str">
        <f>"1/34"</f>
        <v>1/34</v>
      </c>
      <c r="E219" s="6">
        <v>1.1000000000000001</v>
      </c>
      <c r="F219" s="6" t="s">
        <v>1621</v>
      </c>
      <c r="G219" s="6" t="s">
        <v>1622</v>
      </c>
      <c r="H219" t="s">
        <v>15</v>
      </c>
      <c r="I219" s="1" t="s">
        <v>1386</v>
      </c>
      <c r="J219" s="6"/>
    </row>
    <row r="220" spans="1:10" ht="28.5" x14ac:dyDescent="0.2">
      <c r="A220" s="1" t="s">
        <v>2000</v>
      </c>
      <c r="B220" s="6">
        <v>4.5999999999999996</v>
      </c>
      <c r="C220" s="6" t="s">
        <v>24</v>
      </c>
      <c r="D220" s="6" t="str">
        <f>"34/96"</f>
        <v>34/96</v>
      </c>
      <c r="E220" s="6">
        <v>1.9</v>
      </c>
      <c r="F220" s="6" t="s">
        <v>2001</v>
      </c>
      <c r="G220" s="6" t="s">
        <v>2002</v>
      </c>
      <c r="H220" t="s">
        <v>27</v>
      </c>
      <c r="I220" s="1" t="s">
        <v>512</v>
      </c>
      <c r="J220" s="6"/>
    </row>
    <row r="221" spans="1:10" ht="28.5" x14ac:dyDescent="0.2">
      <c r="A221" s="1" t="s">
        <v>2051</v>
      </c>
      <c r="B221" s="6">
        <v>4.5999999999999996</v>
      </c>
      <c r="C221" s="6" t="s">
        <v>24</v>
      </c>
      <c r="D221" s="6" t="str">
        <f>"79/275"</f>
        <v>79/275</v>
      </c>
      <c r="E221" s="6">
        <v>1.4</v>
      </c>
      <c r="F221" s="6" t="s">
        <v>2052</v>
      </c>
      <c r="G221" s="6" t="s">
        <v>2053</v>
      </c>
      <c r="H221" t="s">
        <v>27</v>
      </c>
      <c r="I221" s="1" t="s">
        <v>512</v>
      </c>
      <c r="J221" s="6"/>
    </row>
    <row r="222" spans="1:10" x14ac:dyDescent="0.2">
      <c r="A222" s="1" t="s">
        <v>2607</v>
      </c>
      <c r="B222" s="6">
        <v>4.5999999999999996</v>
      </c>
      <c r="C222" s="6" t="s">
        <v>24</v>
      </c>
      <c r="D222" s="6" t="str">
        <f>"34/96"</f>
        <v>34/96</v>
      </c>
      <c r="E222" s="6">
        <v>0.7</v>
      </c>
      <c r="F222" s="6" t="s">
        <v>2608</v>
      </c>
      <c r="G222" s="6" t="s">
        <v>2609</v>
      </c>
      <c r="H222" t="s">
        <v>21</v>
      </c>
      <c r="I222" s="1" t="s">
        <v>535</v>
      </c>
      <c r="J222" s="6"/>
    </row>
    <row r="223" spans="1:10" x14ac:dyDescent="0.2">
      <c r="A223" s="1" t="s">
        <v>2616</v>
      </c>
      <c r="B223" s="6">
        <v>4.5999999999999996</v>
      </c>
      <c r="C223" s="6" t="s">
        <v>24</v>
      </c>
      <c r="D223" s="6" t="str">
        <f>"34/96"</f>
        <v>34/96</v>
      </c>
      <c r="E223" s="6">
        <v>0.9</v>
      </c>
      <c r="F223" s="6" t="s">
        <v>60</v>
      </c>
      <c r="G223" s="6" t="s">
        <v>2617</v>
      </c>
      <c r="H223" t="s">
        <v>292</v>
      </c>
      <c r="I223" s="1" t="s">
        <v>708</v>
      </c>
      <c r="J223" s="6"/>
    </row>
    <row r="224" spans="1:10" ht="42.75" x14ac:dyDescent="0.2">
      <c r="A224" s="1" t="s">
        <v>1425</v>
      </c>
      <c r="B224" s="6">
        <v>4.5</v>
      </c>
      <c r="C224" s="6" t="s">
        <v>7</v>
      </c>
      <c r="D224" s="6" t="str">
        <f>"12/63"</f>
        <v>12/63</v>
      </c>
      <c r="E224" s="6">
        <v>1.2</v>
      </c>
      <c r="F224" s="6" t="s">
        <v>1426</v>
      </c>
      <c r="G224" s="6" t="s">
        <v>1427</v>
      </c>
      <c r="H224" t="s">
        <v>319</v>
      </c>
      <c r="I224" s="1" t="s">
        <v>1428</v>
      </c>
      <c r="J224" s="6"/>
    </row>
    <row r="225" spans="1:10" ht="28.5" x14ac:dyDescent="0.2">
      <c r="A225" s="1" t="s">
        <v>2100</v>
      </c>
      <c r="B225" s="6">
        <v>4.5</v>
      </c>
      <c r="C225" s="6" t="s">
        <v>7</v>
      </c>
      <c r="D225" s="6" t="str">
        <f>"11/54"</f>
        <v>11/54</v>
      </c>
      <c r="E225" s="6">
        <v>4.3</v>
      </c>
      <c r="F225" s="6" t="s">
        <v>2101</v>
      </c>
      <c r="G225" s="6" t="s">
        <v>2102</v>
      </c>
      <c r="H225" t="s">
        <v>27</v>
      </c>
      <c r="I225" s="1" t="s">
        <v>512</v>
      </c>
      <c r="J225" s="6"/>
    </row>
    <row r="226" spans="1:10" x14ac:dyDescent="0.2">
      <c r="A226" s="1" t="s">
        <v>2151</v>
      </c>
      <c r="B226" s="6">
        <v>4.5</v>
      </c>
      <c r="C226" s="6" t="s">
        <v>7</v>
      </c>
      <c r="D226" s="6" t="str">
        <f>"39/202"</f>
        <v>39/202</v>
      </c>
      <c r="E226" s="6">
        <v>1.1000000000000001</v>
      </c>
      <c r="F226" s="6" t="s">
        <v>2152</v>
      </c>
      <c r="G226" s="6" t="s">
        <v>2153</v>
      </c>
      <c r="H226" t="s">
        <v>15</v>
      </c>
      <c r="I226" s="1" t="s">
        <v>248</v>
      </c>
      <c r="J226" s="6"/>
    </row>
    <row r="227" spans="1:10" x14ac:dyDescent="0.2">
      <c r="A227" s="1" t="s">
        <v>2185</v>
      </c>
      <c r="B227" s="6">
        <v>4.5</v>
      </c>
      <c r="C227" s="6" t="s">
        <v>7</v>
      </c>
      <c r="D227" s="6" t="str">
        <f>"26/136"</f>
        <v>26/136</v>
      </c>
      <c r="E227" s="6">
        <v>2.8</v>
      </c>
      <c r="F227" s="6" t="s">
        <v>2186</v>
      </c>
      <c r="G227" s="6" t="s">
        <v>2187</v>
      </c>
      <c r="H227" t="s">
        <v>51</v>
      </c>
      <c r="I227" s="1" t="s">
        <v>2184</v>
      </c>
      <c r="J227" s="6"/>
    </row>
    <row r="228" spans="1:10" x14ac:dyDescent="0.2">
      <c r="A228" s="1" t="s">
        <v>2419</v>
      </c>
      <c r="B228" s="6">
        <v>4.5</v>
      </c>
      <c r="C228" s="6" t="s">
        <v>7</v>
      </c>
      <c r="D228" s="6" t="str">
        <f>"29/139"</f>
        <v>29/139</v>
      </c>
      <c r="E228" s="6">
        <v>0.9</v>
      </c>
      <c r="F228" s="6" t="s">
        <v>2420</v>
      </c>
      <c r="G228" s="6" t="s">
        <v>2421</v>
      </c>
      <c r="H228" t="s">
        <v>15</v>
      </c>
      <c r="I228" s="1" t="s">
        <v>16</v>
      </c>
      <c r="J228" s="6"/>
    </row>
    <row r="229" spans="1:10" x14ac:dyDescent="0.2">
      <c r="A229" s="1" t="s">
        <v>2602</v>
      </c>
      <c r="B229" s="6">
        <v>4.5</v>
      </c>
      <c r="C229" s="6" t="s">
        <v>7</v>
      </c>
      <c r="D229" s="6" t="str">
        <f>"22/90"</f>
        <v>22/90</v>
      </c>
      <c r="E229" s="6">
        <v>0.6</v>
      </c>
      <c r="F229" s="6" t="s">
        <v>60</v>
      </c>
      <c r="G229" s="6" t="s">
        <v>2603</v>
      </c>
      <c r="H229" t="s">
        <v>292</v>
      </c>
      <c r="I229" s="1" t="s">
        <v>708</v>
      </c>
      <c r="J229" s="6"/>
    </row>
    <row r="230" spans="1:10" x14ac:dyDescent="0.2">
      <c r="A230" s="1" t="s">
        <v>265</v>
      </c>
      <c r="B230" s="6">
        <v>4.4000000000000004</v>
      </c>
      <c r="C230" s="6" t="s">
        <v>24</v>
      </c>
      <c r="D230" s="6" t="str">
        <f>"84/275"</f>
        <v>84/275</v>
      </c>
      <c r="E230" s="6">
        <v>0.7</v>
      </c>
      <c r="F230" s="6" t="s">
        <v>266</v>
      </c>
      <c r="G230" s="6" t="s">
        <v>267</v>
      </c>
      <c r="H230" t="s">
        <v>102</v>
      </c>
      <c r="I230" s="1" t="s">
        <v>103</v>
      </c>
      <c r="J230" s="6"/>
    </row>
    <row r="231" spans="1:10" x14ac:dyDescent="0.2">
      <c r="A231" s="1" t="s">
        <v>530</v>
      </c>
      <c r="B231" s="6">
        <v>4.4000000000000004</v>
      </c>
      <c r="C231" s="6" t="s">
        <v>7</v>
      </c>
      <c r="D231" s="6" t="str">
        <f>"31/135"</f>
        <v>31/135</v>
      </c>
      <c r="E231" s="6">
        <v>0.4</v>
      </c>
      <c r="F231" s="6" t="s">
        <v>531</v>
      </c>
      <c r="G231" s="6" t="s">
        <v>532</v>
      </c>
      <c r="H231" t="s">
        <v>102</v>
      </c>
      <c r="I231" s="1" t="s">
        <v>133</v>
      </c>
      <c r="J231" s="6"/>
    </row>
    <row r="232" spans="1:10" x14ac:dyDescent="0.2">
      <c r="A232" s="1" t="s">
        <v>1330</v>
      </c>
      <c r="B232" s="6">
        <v>4.4000000000000004</v>
      </c>
      <c r="C232" s="6" t="s">
        <v>7</v>
      </c>
      <c r="D232" s="6" t="str">
        <f>"30/139"</f>
        <v>30/139</v>
      </c>
      <c r="E232" s="6">
        <v>0.6</v>
      </c>
      <c r="F232" s="6" t="s">
        <v>1331</v>
      </c>
      <c r="G232" s="6" t="s">
        <v>1332</v>
      </c>
      <c r="H232" t="s">
        <v>10</v>
      </c>
      <c r="I232" s="1" t="s">
        <v>361</v>
      </c>
      <c r="J232" s="6"/>
    </row>
    <row r="233" spans="1:10" ht="28.5" x14ac:dyDescent="0.2">
      <c r="A233" s="1" t="s">
        <v>1907</v>
      </c>
      <c r="B233" s="6">
        <v>4.4000000000000004</v>
      </c>
      <c r="C233" s="6" t="s">
        <v>24</v>
      </c>
      <c r="D233" s="6" t="str">
        <f>"84/275"</f>
        <v>84/275</v>
      </c>
      <c r="E233" s="6">
        <v>1.3</v>
      </c>
      <c r="F233" s="6" t="s">
        <v>1908</v>
      </c>
      <c r="G233" s="6" t="s">
        <v>1909</v>
      </c>
      <c r="H233" t="s">
        <v>27</v>
      </c>
      <c r="I233" s="1" t="s">
        <v>512</v>
      </c>
      <c r="J233" s="6"/>
    </row>
    <row r="234" spans="1:10" ht="28.5" x14ac:dyDescent="0.2">
      <c r="A234" s="1" t="s">
        <v>1937</v>
      </c>
      <c r="B234" s="6">
        <v>4.4000000000000004</v>
      </c>
      <c r="C234" s="6" t="s">
        <v>24</v>
      </c>
      <c r="D234" s="6" t="str">
        <f>"23/90"</f>
        <v>23/90</v>
      </c>
      <c r="E234" s="6">
        <v>1.2</v>
      </c>
      <c r="F234" s="6" t="s">
        <v>1938</v>
      </c>
      <c r="G234" s="6" t="s">
        <v>1939</v>
      </c>
      <c r="H234" t="s">
        <v>27</v>
      </c>
      <c r="I234" s="1" t="s">
        <v>512</v>
      </c>
      <c r="J234" s="6"/>
    </row>
    <row r="235" spans="1:10" ht="28.5" x14ac:dyDescent="0.2">
      <c r="A235" s="1" t="s">
        <v>1991</v>
      </c>
      <c r="B235" s="6">
        <v>4.4000000000000004</v>
      </c>
      <c r="C235" s="6" t="s">
        <v>24</v>
      </c>
      <c r="D235" s="6" t="str">
        <f>"84/275"</f>
        <v>84/275</v>
      </c>
      <c r="E235" s="6">
        <v>1.4</v>
      </c>
      <c r="F235" s="6" t="s">
        <v>1992</v>
      </c>
      <c r="G235" s="6" t="s">
        <v>1993</v>
      </c>
      <c r="H235" t="s">
        <v>27</v>
      </c>
      <c r="I235" s="1" t="s">
        <v>512</v>
      </c>
      <c r="J235" s="6"/>
    </row>
    <row r="236" spans="1:10" ht="28.5" x14ac:dyDescent="0.2">
      <c r="A236" s="1" t="s">
        <v>2015</v>
      </c>
      <c r="B236" s="6">
        <v>4.4000000000000004</v>
      </c>
      <c r="C236" s="6" t="s">
        <v>7</v>
      </c>
      <c r="D236" s="6" t="str">
        <f>"5/34"</f>
        <v>5/34</v>
      </c>
      <c r="E236" s="6">
        <v>2.1</v>
      </c>
      <c r="F236" s="6" t="s">
        <v>2016</v>
      </c>
      <c r="G236" s="6" t="s">
        <v>2017</v>
      </c>
      <c r="H236" t="s">
        <v>27</v>
      </c>
      <c r="I236" s="1" t="s">
        <v>512</v>
      </c>
      <c r="J236" s="6"/>
    </row>
    <row r="237" spans="1:10" x14ac:dyDescent="0.2">
      <c r="A237" s="1" t="s">
        <v>2123</v>
      </c>
      <c r="B237" s="6">
        <v>4.4000000000000004</v>
      </c>
      <c r="C237" s="6" t="s">
        <v>24</v>
      </c>
      <c r="D237" s="6" t="str">
        <f>"84/275"</f>
        <v>84/275</v>
      </c>
      <c r="E237" s="6">
        <v>0.7</v>
      </c>
      <c r="F237" s="6" t="s">
        <v>2124</v>
      </c>
      <c r="G237" s="6" t="s">
        <v>2124</v>
      </c>
      <c r="H237" t="s">
        <v>51</v>
      </c>
      <c r="I237" s="1" t="s">
        <v>16</v>
      </c>
      <c r="J237" s="6"/>
    </row>
    <row r="238" spans="1:10" x14ac:dyDescent="0.2">
      <c r="A238" s="1" t="s">
        <v>2515</v>
      </c>
      <c r="B238" s="6">
        <v>4.4000000000000004</v>
      </c>
      <c r="C238" s="6" t="s">
        <v>7</v>
      </c>
      <c r="D238" s="6" t="str">
        <f>"13/63"</f>
        <v>13/63</v>
      </c>
      <c r="E238" s="6">
        <v>1.1000000000000001</v>
      </c>
      <c r="F238" s="6" t="s">
        <v>2516</v>
      </c>
      <c r="G238" s="6" t="s">
        <v>2517</v>
      </c>
      <c r="H238" t="s">
        <v>27</v>
      </c>
      <c r="I238" s="1" t="s">
        <v>194</v>
      </c>
      <c r="J238" s="6"/>
    </row>
    <row r="239" spans="1:10" x14ac:dyDescent="0.2">
      <c r="A239" s="1" t="s">
        <v>2524</v>
      </c>
      <c r="B239" s="6">
        <v>4.4000000000000004</v>
      </c>
      <c r="C239" s="6" t="s">
        <v>7</v>
      </c>
      <c r="D239" s="6" t="str">
        <f>"3/16"</f>
        <v>3/16</v>
      </c>
      <c r="E239" s="6">
        <v>0.7</v>
      </c>
      <c r="F239" s="6" t="s">
        <v>2525</v>
      </c>
      <c r="G239" s="6" t="s">
        <v>2526</v>
      </c>
      <c r="H239" t="s">
        <v>102</v>
      </c>
      <c r="I239" s="1" t="s">
        <v>103</v>
      </c>
      <c r="J239" s="6"/>
    </row>
    <row r="240" spans="1:10" x14ac:dyDescent="0.2">
      <c r="A240" s="1" t="s">
        <v>2689</v>
      </c>
      <c r="B240" s="6">
        <v>4.4000000000000004</v>
      </c>
      <c r="C240" s="6" t="s">
        <v>7</v>
      </c>
      <c r="D240" s="6" t="str">
        <f>"29/136"</f>
        <v>29/136</v>
      </c>
      <c r="E240" s="6">
        <v>1.4</v>
      </c>
      <c r="F240" s="6" t="s">
        <v>2690</v>
      </c>
      <c r="G240" s="6" t="s">
        <v>2691</v>
      </c>
      <c r="H240" t="s">
        <v>528</v>
      </c>
      <c r="I240" s="1" t="s">
        <v>535</v>
      </c>
      <c r="J240" s="6"/>
    </row>
    <row r="241" spans="1:10" x14ac:dyDescent="0.2">
      <c r="A241" s="1" t="s">
        <v>2715</v>
      </c>
      <c r="B241" s="6">
        <v>4.4000000000000004</v>
      </c>
      <c r="C241" s="6" t="s">
        <v>7</v>
      </c>
      <c r="D241" s="6" t="str">
        <f>"5/267"</f>
        <v>5/267</v>
      </c>
      <c r="E241" s="6">
        <v>1.1000000000000001</v>
      </c>
      <c r="F241" s="6" t="s">
        <v>2716</v>
      </c>
      <c r="G241" s="6" t="s">
        <v>2717</v>
      </c>
      <c r="H241" t="s">
        <v>51</v>
      </c>
      <c r="I241" s="1" t="s">
        <v>2718</v>
      </c>
      <c r="J241" s="6"/>
    </row>
    <row r="242" spans="1:10" x14ac:dyDescent="0.2">
      <c r="A242" s="1" t="s">
        <v>332</v>
      </c>
      <c r="B242" s="6">
        <v>4.3</v>
      </c>
      <c r="C242" s="6" t="s">
        <v>24</v>
      </c>
      <c r="D242" s="6" t="str">
        <f>"20/65"</f>
        <v>20/65</v>
      </c>
      <c r="E242" s="6">
        <v>1.2</v>
      </c>
      <c r="F242" s="6" t="s">
        <v>333</v>
      </c>
      <c r="G242" s="6" t="s">
        <v>334</v>
      </c>
      <c r="H242" t="s">
        <v>102</v>
      </c>
      <c r="I242" s="1" t="s">
        <v>103</v>
      </c>
      <c r="J242" s="6"/>
    </row>
    <row r="243" spans="1:10" x14ac:dyDescent="0.2">
      <c r="A243" s="1" t="s">
        <v>1336</v>
      </c>
      <c r="B243" s="6">
        <v>4.3</v>
      </c>
      <c r="C243" s="6" t="s">
        <v>7</v>
      </c>
      <c r="D243" s="6" t="str">
        <f>"33/139"</f>
        <v>33/139</v>
      </c>
      <c r="E243" s="6">
        <v>0.8</v>
      </c>
      <c r="F243" s="6" t="s">
        <v>1337</v>
      </c>
      <c r="G243" s="6" t="s">
        <v>1338</v>
      </c>
      <c r="H243" t="s">
        <v>107</v>
      </c>
      <c r="I243" s="1" t="s">
        <v>108</v>
      </c>
      <c r="J243" s="6"/>
    </row>
    <row r="244" spans="1:10" x14ac:dyDescent="0.2">
      <c r="A244" s="1" t="s">
        <v>1432</v>
      </c>
      <c r="B244" s="6">
        <v>4.3</v>
      </c>
      <c r="C244" s="6" t="s">
        <v>7</v>
      </c>
      <c r="D244" s="6" t="str">
        <f>"25/111"</f>
        <v>25/111</v>
      </c>
      <c r="E244" s="6">
        <v>0.9</v>
      </c>
      <c r="F244" s="6" t="s">
        <v>1433</v>
      </c>
      <c r="G244" s="6" t="s">
        <v>1434</v>
      </c>
      <c r="H244" t="s">
        <v>15</v>
      </c>
      <c r="I244" s="1" t="s">
        <v>44</v>
      </c>
      <c r="J244" s="6"/>
    </row>
    <row r="245" spans="1:10" x14ac:dyDescent="0.2">
      <c r="A245" s="1" t="s">
        <v>1598</v>
      </c>
      <c r="B245" s="6">
        <v>4.3</v>
      </c>
      <c r="C245" s="6" t="s">
        <v>24</v>
      </c>
      <c r="D245" s="6" t="str">
        <f>"20/65"</f>
        <v>20/65</v>
      </c>
      <c r="E245" s="6">
        <v>1</v>
      </c>
      <c r="F245" s="6" t="s">
        <v>1599</v>
      </c>
      <c r="G245" s="6" t="s">
        <v>1600</v>
      </c>
      <c r="H245" t="s">
        <v>10</v>
      </c>
      <c r="I245" s="1" t="s">
        <v>361</v>
      </c>
      <c r="J245" s="6"/>
    </row>
    <row r="246" spans="1:10" ht="28.5" x14ac:dyDescent="0.2">
      <c r="A246" s="1" t="s">
        <v>1922</v>
      </c>
      <c r="B246" s="6">
        <v>4.3</v>
      </c>
      <c r="C246" s="6" t="s">
        <v>24</v>
      </c>
      <c r="D246" s="6" t="str">
        <f>"91/275"</f>
        <v>91/275</v>
      </c>
      <c r="E246" s="6">
        <v>0.6</v>
      </c>
      <c r="F246" s="6" t="s">
        <v>1923</v>
      </c>
      <c r="G246" s="6" t="s">
        <v>1924</v>
      </c>
      <c r="H246" t="s">
        <v>27</v>
      </c>
      <c r="I246" s="1" t="s">
        <v>512</v>
      </c>
      <c r="J246" s="6"/>
    </row>
    <row r="247" spans="1:10" ht="28.5" x14ac:dyDescent="0.2">
      <c r="A247" s="1" t="s">
        <v>1979</v>
      </c>
      <c r="B247" s="6">
        <v>4.3</v>
      </c>
      <c r="C247" s="6" t="s">
        <v>24</v>
      </c>
      <c r="D247" s="6" t="str">
        <f>"91/275"</f>
        <v>91/275</v>
      </c>
      <c r="E247" s="6">
        <v>1.1000000000000001</v>
      </c>
      <c r="F247" s="6" t="s">
        <v>1980</v>
      </c>
      <c r="G247" s="6" t="s">
        <v>1981</v>
      </c>
      <c r="H247" t="s">
        <v>27</v>
      </c>
      <c r="I247" s="1" t="s">
        <v>512</v>
      </c>
      <c r="J247" s="6"/>
    </row>
    <row r="248" spans="1:10" ht="28.5" x14ac:dyDescent="0.2">
      <c r="A248" s="1" t="s">
        <v>2030</v>
      </c>
      <c r="B248" s="6">
        <v>4.3</v>
      </c>
      <c r="C248" s="6" t="s">
        <v>7</v>
      </c>
      <c r="D248" s="6" t="str">
        <f>"15/63"</f>
        <v>15/63</v>
      </c>
      <c r="E248" s="6">
        <v>1.1000000000000001</v>
      </c>
      <c r="F248" s="6" t="s">
        <v>2031</v>
      </c>
      <c r="G248" s="6" t="s">
        <v>2032</v>
      </c>
      <c r="H248" t="s">
        <v>27</v>
      </c>
      <c r="I248" s="1" t="s">
        <v>512</v>
      </c>
      <c r="J248" s="6"/>
    </row>
    <row r="249" spans="1:10" x14ac:dyDescent="0.2">
      <c r="A249" s="1" t="s">
        <v>2249</v>
      </c>
      <c r="B249" s="6">
        <v>4.3</v>
      </c>
      <c r="C249" s="6" t="s">
        <v>24</v>
      </c>
      <c r="D249" s="6" t="str">
        <f>"15/40"</f>
        <v>15/40</v>
      </c>
      <c r="E249" s="6">
        <v>0.6</v>
      </c>
      <c r="F249" s="6" t="s">
        <v>2250</v>
      </c>
      <c r="G249" s="6" t="s">
        <v>2251</v>
      </c>
      <c r="H249" t="s">
        <v>10</v>
      </c>
      <c r="I249" s="1" t="s">
        <v>133</v>
      </c>
      <c r="J249" s="6"/>
    </row>
    <row r="250" spans="1:10" ht="28.5" x14ac:dyDescent="0.2">
      <c r="A250" s="1" t="s">
        <v>2564</v>
      </c>
      <c r="B250" s="6">
        <v>4.3</v>
      </c>
      <c r="C250" s="6" t="s">
        <v>24</v>
      </c>
      <c r="D250" s="6" t="str">
        <f>"45/142"</f>
        <v>45/142</v>
      </c>
      <c r="E250" s="6">
        <v>1.3</v>
      </c>
      <c r="F250" s="6" t="s">
        <v>2565</v>
      </c>
      <c r="G250" s="6" t="s">
        <v>2566</v>
      </c>
      <c r="H250" t="s">
        <v>292</v>
      </c>
      <c r="I250" s="1" t="s">
        <v>293</v>
      </c>
      <c r="J250" s="6"/>
    </row>
    <row r="251" spans="1:10" x14ac:dyDescent="0.2">
      <c r="A251" s="1" t="s">
        <v>2707</v>
      </c>
      <c r="B251" s="6">
        <v>4.3</v>
      </c>
      <c r="C251" s="6" t="s">
        <v>7</v>
      </c>
      <c r="D251" s="6" t="str">
        <f>"6/63"</f>
        <v>6/63</v>
      </c>
      <c r="E251" s="6">
        <v>1.3</v>
      </c>
      <c r="F251" s="6" t="s">
        <v>2708</v>
      </c>
      <c r="G251" s="6" t="s">
        <v>2709</v>
      </c>
      <c r="H251" t="s">
        <v>15</v>
      </c>
      <c r="I251" s="1" t="s">
        <v>77</v>
      </c>
      <c r="J251" s="6"/>
    </row>
    <row r="252" spans="1:10" x14ac:dyDescent="0.2">
      <c r="A252" s="1" t="s">
        <v>228</v>
      </c>
      <c r="B252" s="6">
        <v>4.2</v>
      </c>
      <c r="C252" s="6" t="s">
        <v>7</v>
      </c>
      <c r="D252" s="6" t="str">
        <f>"10/125"</f>
        <v>10/125</v>
      </c>
      <c r="E252" s="6">
        <v>1.3</v>
      </c>
      <c r="F252" s="6" t="s">
        <v>229</v>
      </c>
      <c r="G252" s="6" t="s">
        <v>230</v>
      </c>
      <c r="H252" t="s">
        <v>10</v>
      </c>
      <c r="I252" s="1" t="s">
        <v>133</v>
      </c>
      <c r="J252" s="6"/>
    </row>
    <row r="253" spans="1:10" x14ac:dyDescent="0.2">
      <c r="A253" s="1" t="s">
        <v>1026</v>
      </c>
      <c r="B253" s="6">
        <v>4.2</v>
      </c>
      <c r="C253" s="6" t="s">
        <v>24</v>
      </c>
      <c r="D253" s="6" t="str">
        <f>"48/142"</f>
        <v>48/142</v>
      </c>
      <c r="E253" s="6">
        <v>0.6</v>
      </c>
      <c r="F253" s="6" t="s">
        <v>1027</v>
      </c>
      <c r="G253" s="6" t="s">
        <v>1028</v>
      </c>
      <c r="H253" t="s">
        <v>15</v>
      </c>
      <c r="I253" s="1" t="s">
        <v>77</v>
      </c>
      <c r="J253" s="6"/>
    </row>
    <row r="254" spans="1:10" ht="28.5" x14ac:dyDescent="0.2">
      <c r="A254" s="1" t="s">
        <v>1429</v>
      </c>
      <c r="B254" s="6">
        <v>4.2</v>
      </c>
      <c r="C254" s="6" t="s">
        <v>24</v>
      </c>
      <c r="D254" s="6" t="str">
        <f>"28/86"</f>
        <v>28/86</v>
      </c>
      <c r="E254" s="6">
        <v>1.2</v>
      </c>
      <c r="F254" s="6" t="s">
        <v>1430</v>
      </c>
      <c r="G254" s="6" t="s">
        <v>1431</v>
      </c>
      <c r="H254" t="s">
        <v>15</v>
      </c>
      <c r="I254" s="1" t="s">
        <v>44</v>
      </c>
      <c r="J254" s="6"/>
    </row>
    <row r="255" spans="1:10" ht="28.5" x14ac:dyDescent="0.2">
      <c r="A255" s="1" t="s">
        <v>1487</v>
      </c>
      <c r="B255" s="6">
        <v>4.2</v>
      </c>
      <c r="C255" s="6" t="s">
        <v>7</v>
      </c>
      <c r="D255" s="6" t="str">
        <f>"31/136"</f>
        <v>31/136</v>
      </c>
      <c r="E255" s="6">
        <v>0.9</v>
      </c>
      <c r="F255" s="6" t="s">
        <v>1488</v>
      </c>
      <c r="G255" s="6" t="s">
        <v>1489</v>
      </c>
      <c r="H255" t="s">
        <v>21</v>
      </c>
      <c r="I255" s="1" t="s">
        <v>1490</v>
      </c>
      <c r="J255" s="6"/>
    </row>
    <row r="256" spans="1:10" ht="28.5" x14ac:dyDescent="0.2">
      <c r="A256" s="1" t="s">
        <v>1515</v>
      </c>
      <c r="B256" s="6">
        <v>4.2</v>
      </c>
      <c r="C256" s="6" t="s">
        <v>7</v>
      </c>
      <c r="D256" s="6" t="str">
        <f>"14/107"</f>
        <v>14/107</v>
      </c>
      <c r="E256" s="6">
        <v>0.9</v>
      </c>
      <c r="F256" s="6" t="s">
        <v>1516</v>
      </c>
      <c r="G256" s="6" t="s">
        <v>1517</v>
      </c>
      <c r="H256" t="s">
        <v>1518</v>
      </c>
      <c r="I256" s="1" t="s">
        <v>248</v>
      </c>
      <c r="J256" s="6"/>
    </row>
    <row r="257" spans="1:10" x14ac:dyDescent="0.2">
      <c r="A257" s="1" t="s">
        <v>1629</v>
      </c>
      <c r="B257" s="6">
        <v>4.2</v>
      </c>
      <c r="C257" s="6" t="s">
        <v>7</v>
      </c>
      <c r="D257" s="6" t="str">
        <f>"27/137"</f>
        <v>27/137</v>
      </c>
      <c r="E257" s="6">
        <v>1.1000000000000001</v>
      </c>
      <c r="F257" s="6" t="s">
        <v>1630</v>
      </c>
      <c r="G257" s="6" t="s">
        <v>1631</v>
      </c>
      <c r="H257" t="s">
        <v>15</v>
      </c>
      <c r="I257" s="1" t="s">
        <v>36</v>
      </c>
      <c r="J257" s="6"/>
    </row>
    <row r="258" spans="1:10" ht="28.5" x14ac:dyDescent="0.2">
      <c r="A258" s="1" t="s">
        <v>1976</v>
      </c>
      <c r="B258" s="6">
        <v>4.2</v>
      </c>
      <c r="C258" s="6" t="s">
        <v>24</v>
      </c>
      <c r="D258" s="6" t="str">
        <f>"23/65"</f>
        <v>23/65</v>
      </c>
      <c r="E258" s="6">
        <v>1.2</v>
      </c>
      <c r="F258" s="6" t="s">
        <v>1977</v>
      </c>
      <c r="G258" s="6" t="s">
        <v>1978</v>
      </c>
      <c r="H258" t="s">
        <v>27</v>
      </c>
      <c r="I258" s="1" t="s">
        <v>512</v>
      </c>
      <c r="J258" s="6"/>
    </row>
    <row r="259" spans="1:10" ht="28.5" x14ac:dyDescent="0.2">
      <c r="A259" s="1" t="s">
        <v>2109</v>
      </c>
      <c r="B259" s="6">
        <v>4.2</v>
      </c>
      <c r="C259" s="6" t="s">
        <v>24</v>
      </c>
      <c r="D259" s="6" t="str">
        <f>"96/275"</f>
        <v>96/275</v>
      </c>
      <c r="E259" s="6">
        <v>0.8</v>
      </c>
      <c r="F259" s="6" t="s">
        <v>2110</v>
      </c>
      <c r="G259" s="6" t="s">
        <v>2111</v>
      </c>
      <c r="H259" t="s">
        <v>27</v>
      </c>
      <c r="I259" s="1" t="s">
        <v>512</v>
      </c>
      <c r="J259" s="6"/>
    </row>
    <row r="260" spans="1:10" x14ac:dyDescent="0.2">
      <c r="A260" s="1" t="s">
        <v>2545</v>
      </c>
      <c r="B260" s="6">
        <v>4.2</v>
      </c>
      <c r="C260" s="6" t="s">
        <v>7</v>
      </c>
      <c r="D260" s="6" t="str">
        <f>"31/136"</f>
        <v>31/136</v>
      </c>
      <c r="E260" s="6">
        <v>1.6</v>
      </c>
      <c r="F260" s="6" t="s">
        <v>2546</v>
      </c>
      <c r="G260" s="6" t="s">
        <v>2547</v>
      </c>
      <c r="H260" t="s">
        <v>51</v>
      </c>
      <c r="I260" s="1" t="s">
        <v>133</v>
      </c>
      <c r="J260" s="6"/>
    </row>
    <row r="261" spans="1:10" x14ac:dyDescent="0.2">
      <c r="A261" s="1" t="s">
        <v>12</v>
      </c>
      <c r="B261" s="6">
        <v>4.0999999999999996</v>
      </c>
      <c r="C261" s="6" t="s">
        <v>7</v>
      </c>
      <c r="D261" s="6" t="str">
        <f>"33/136"</f>
        <v>33/136</v>
      </c>
      <c r="E261" s="6">
        <v>0.5</v>
      </c>
      <c r="F261" s="6" t="s">
        <v>13</v>
      </c>
      <c r="G261" s="6" t="s">
        <v>14</v>
      </c>
      <c r="H261" t="s">
        <v>15</v>
      </c>
      <c r="I261" s="1" t="s">
        <v>16</v>
      </c>
      <c r="J261" s="6"/>
    </row>
    <row r="262" spans="1:10" x14ac:dyDescent="0.2">
      <c r="A262" s="1" t="s">
        <v>192</v>
      </c>
      <c r="B262" s="6">
        <v>4.0999999999999996</v>
      </c>
      <c r="C262" s="6" t="s">
        <v>24</v>
      </c>
      <c r="D262" s="6" t="str">
        <f>"38/139"</f>
        <v>38/139</v>
      </c>
      <c r="E262" s="6">
        <v>1</v>
      </c>
      <c r="F262" s="6" t="s">
        <v>193</v>
      </c>
      <c r="G262" s="6" t="s">
        <v>193</v>
      </c>
      <c r="H262" t="s">
        <v>102</v>
      </c>
      <c r="I262" s="1" t="s">
        <v>194</v>
      </c>
      <c r="J262" s="6"/>
    </row>
    <row r="263" spans="1:10" x14ac:dyDescent="0.2">
      <c r="A263" s="1" t="s">
        <v>678</v>
      </c>
      <c r="B263" s="6">
        <v>4.0999999999999996</v>
      </c>
      <c r="C263" s="6" t="s">
        <v>7</v>
      </c>
      <c r="D263" s="6" t="str">
        <f>"5/32"</f>
        <v>5/32</v>
      </c>
      <c r="E263" s="6">
        <v>0.5</v>
      </c>
      <c r="F263" s="6" t="s">
        <v>679</v>
      </c>
      <c r="G263" s="6" t="s">
        <v>680</v>
      </c>
      <c r="H263" t="s">
        <v>27</v>
      </c>
      <c r="I263" s="1" t="s">
        <v>69</v>
      </c>
      <c r="J263" s="6"/>
    </row>
    <row r="264" spans="1:10" ht="28.5" x14ac:dyDescent="0.2">
      <c r="A264" s="1" t="s">
        <v>920</v>
      </c>
      <c r="B264" s="6">
        <v>4.0999999999999996</v>
      </c>
      <c r="C264" s="6" t="s">
        <v>7</v>
      </c>
      <c r="D264" s="6" t="str">
        <f>"15/107"</f>
        <v>15/107</v>
      </c>
      <c r="E264" s="6">
        <v>1</v>
      </c>
      <c r="F264" s="6" t="s">
        <v>921</v>
      </c>
      <c r="G264" s="6" t="s">
        <v>922</v>
      </c>
      <c r="H264" t="s">
        <v>27</v>
      </c>
      <c r="I264" s="1" t="s">
        <v>40</v>
      </c>
      <c r="J264" s="6"/>
    </row>
    <row r="265" spans="1:10" x14ac:dyDescent="0.2">
      <c r="A265" s="1" t="s">
        <v>968</v>
      </c>
      <c r="B265" s="6">
        <v>4.0999999999999996</v>
      </c>
      <c r="C265" s="6" t="s">
        <v>24</v>
      </c>
      <c r="D265" s="6" t="str">
        <f>"38/139"</f>
        <v>38/139</v>
      </c>
      <c r="E265" s="6">
        <v>1.4</v>
      </c>
      <c r="F265" s="6" t="s">
        <v>969</v>
      </c>
      <c r="G265" s="6" t="s">
        <v>970</v>
      </c>
      <c r="H265" t="s">
        <v>27</v>
      </c>
      <c r="I265" s="1" t="s">
        <v>677</v>
      </c>
      <c r="J265" s="6"/>
    </row>
    <row r="266" spans="1:10" x14ac:dyDescent="0.2">
      <c r="A266" s="1" t="s">
        <v>1304</v>
      </c>
      <c r="B266" s="6">
        <v>4.0999999999999996</v>
      </c>
      <c r="C266" s="6" t="s">
        <v>24</v>
      </c>
      <c r="D266" s="6" t="str">
        <f>"38/139"</f>
        <v>38/139</v>
      </c>
      <c r="E266" s="6">
        <v>1.1000000000000001</v>
      </c>
      <c r="F266" s="6" t="s">
        <v>1305</v>
      </c>
      <c r="G266" s="6" t="s">
        <v>1306</v>
      </c>
      <c r="H266" t="s">
        <v>15</v>
      </c>
      <c r="I266" s="1" t="s">
        <v>77</v>
      </c>
      <c r="J266" s="6"/>
    </row>
    <row r="267" spans="1:10" ht="28.5" x14ac:dyDescent="0.2">
      <c r="A267" s="1" t="s">
        <v>1654</v>
      </c>
      <c r="B267" s="6">
        <v>4.0999999999999996</v>
      </c>
      <c r="C267" s="6" t="s">
        <v>24</v>
      </c>
      <c r="D267" s="6" t="str">
        <f>"29/86"</f>
        <v>29/86</v>
      </c>
      <c r="E267" s="6">
        <v>0.7</v>
      </c>
      <c r="F267" s="6" t="s">
        <v>1655</v>
      </c>
      <c r="G267" s="6" t="s">
        <v>1656</v>
      </c>
      <c r="H267" t="s">
        <v>15</v>
      </c>
      <c r="I267" s="1" t="s">
        <v>44</v>
      </c>
      <c r="J267" s="6"/>
    </row>
    <row r="268" spans="1:10" ht="28.5" x14ac:dyDescent="0.2">
      <c r="A268" s="1" t="s">
        <v>2070</v>
      </c>
      <c r="B268" s="6">
        <v>4.0999999999999996</v>
      </c>
      <c r="C268" s="6" t="s">
        <v>7</v>
      </c>
      <c r="D268" s="6" t="str">
        <f>"7/63"</f>
        <v>7/63</v>
      </c>
      <c r="E268" s="6">
        <v>0.6</v>
      </c>
      <c r="F268" s="6" t="s">
        <v>2071</v>
      </c>
      <c r="G268" s="6" t="s">
        <v>2072</v>
      </c>
      <c r="H268" t="s">
        <v>27</v>
      </c>
      <c r="I268" s="1" t="s">
        <v>512</v>
      </c>
      <c r="J268" s="6"/>
    </row>
    <row r="269" spans="1:10" x14ac:dyDescent="0.2">
      <c r="A269" s="1" t="s">
        <v>2258</v>
      </c>
      <c r="B269" s="6">
        <v>4.0999999999999996</v>
      </c>
      <c r="C269" s="6" t="s">
        <v>7</v>
      </c>
      <c r="D269" s="6" t="str">
        <f>"29/137"</f>
        <v>29/137</v>
      </c>
      <c r="E269" s="6">
        <v>1.5</v>
      </c>
      <c r="F269" s="6" t="s">
        <v>2259</v>
      </c>
      <c r="G269" s="6" t="s">
        <v>2260</v>
      </c>
      <c r="H269" t="s">
        <v>102</v>
      </c>
      <c r="I269" s="1" t="s">
        <v>103</v>
      </c>
      <c r="J269" s="6"/>
    </row>
    <row r="270" spans="1:10" x14ac:dyDescent="0.2">
      <c r="A270" s="1" t="s">
        <v>2487</v>
      </c>
      <c r="B270" s="6">
        <v>4.0999999999999996</v>
      </c>
      <c r="C270" s="6" t="s">
        <v>7</v>
      </c>
      <c r="D270" s="6" t="str">
        <f>"15/107"</f>
        <v>15/107</v>
      </c>
      <c r="E270" s="6">
        <v>0.8</v>
      </c>
      <c r="F270" s="6" t="s">
        <v>2488</v>
      </c>
      <c r="G270" s="6" t="s">
        <v>2489</v>
      </c>
      <c r="H270" t="s">
        <v>10</v>
      </c>
      <c r="I270" s="1" t="s">
        <v>133</v>
      </c>
      <c r="J270" s="6"/>
    </row>
    <row r="271" spans="1:10" x14ac:dyDescent="0.2">
      <c r="A271" s="1" t="s">
        <v>2518</v>
      </c>
      <c r="B271" s="6">
        <v>4.0999999999999996</v>
      </c>
      <c r="C271" s="6" t="s">
        <v>7</v>
      </c>
      <c r="D271" s="6" t="str">
        <f>"47/202"</f>
        <v>47/202</v>
      </c>
      <c r="E271" s="6">
        <v>0.6</v>
      </c>
      <c r="F271" s="6" t="s">
        <v>2519</v>
      </c>
      <c r="G271" s="6" t="s">
        <v>2520</v>
      </c>
      <c r="H271" t="s">
        <v>102</v>
      </c>
      <c r="I271" s="1" t="s">
        <v>103</v>
      </c>
      <c r="J271" s="6"/>
    </row>
    <row r="272" spans="1:10" x14ac:dyDescent="0.2">
      <c r="A272" s="1" t="s">
        <v>2535</v>
      </c>
      <c r="B272" s="6">
        <v>4.0999999999999996</v>
      </c>
      <c r="C272" s="6" t="s">
        <v>24</v>
      </c>
      <c r="D272" s="6" t="str">
        <f>"21/50"</f>
        <v>21/50</v>
      </c>
      <c r="E272" s="6">
        <v>0.6</v>
      </c>
      <c r="F272" s="6" t="s">
        <v>2536</v>
      </c>
      <c r="G272" s="6" t="s">
        <v>2537</v>
      </c>
      <c r="H272" t="s">
        <v>292</v>
      </c>
      <c r="I272" s="1" t="s">
        <v>103</v>
      </c>
      <c r="J272" s="6"/>
    </row>
    <row r="273" spans="1:10" x14ac:dyDescent="0.2">
      <c r="A273" s="1" t="s">
        <v>252</v>
      </c>
      <c r="B273" s="6">
        <v>4</v>
      </c>
      <c r="C273" s="6" t="s">
        <v>7</v>
      </c>
      <c r="D273" s="6" t="str">
        <f>"48/202"</f>
        <v>48/202</v>
      </c>
      <c r="E273" s="6">
        <v>1</v>
      </c>
      <c r="F273" s="6" t="s">
        <v>253</v>
      </c>
      <c r="G273" s="6" t="s">
        <v>254</v>
      </c>
      <c r="H273" t="s">
        <v>15</v>
      </c>
      <c r="I273" s="1" t="s">
        <v>77</v>
      </c>
      <c r="J273" s="6"/>
    </row>
    <row r="274" spans="1:10" ht="28.5" x14ac:dyDescent="0.2">
      <c r="A274" s="1" t="s">
        <v>1124</v>
      </c>
      <c r="B274" s="6">
        <v>4</v>
      </c>
      <c r="C274" s="6" t="s">
        <v>24</v>
      </c>
      <c r="D274" s="6" t="str">
        <f>"35/136"</f>
        <v>35/136</v>
      </c>
      <c r="E274" s="6">
        <v>1.2</v>
      </c>
      <c r="F274" s="6" t="s">
        <v>1125</v>
      </c>
      <c r="G274" s="6" t="s">
        <v>1126</v>
      </c>
      <c r="H274" t="s">
        <v>27</v>
      </c>
      <c r="I274" s="1" t="s">
        <v>763</v>
      </c>
      <c r="J274" s="6"/>
    </row>
    <row r="275" spans="1:10" x14ac:dyDescent="0.2">
      <c r="A275" s="1" t="s">
        <v>1355</v>
      </c>
      <c r="B275" s="6">
        <v>4</v>
      </c>
      <c r="C275" s="6" t="s">
        <v>24</v>
      </c>
      <c r="D275" s="6" t="str">
        <f>"26/90"</f>
        <v>26/90</v>
      </c>
      <c r="E275" s="6">
        <v>1.1000000000000001</v>
      </c>
      <c r="F275" s="6" t="s">
        <v>1356</v>
      </c>
      <c r="G275" s="6" t="s">
        <v>1357</v>
      </c>
      <c r="H275" t="s">
        <v>51</v>
      </c>
      <c r="I275" s="1" t="s">
        <v>404</v>
      </c>
      <c r="J275" s="6"/>
    </row>
    <row r="276" spans="1:10" x14ac:dyDescent="0.2">
      <c r="A276" s="1" t="s">
        <v>1475</v>
      </c>
      <c r="B276" s="6">
        <v>4</v>
      </c>
      <c r="C276" s="6" t="s">
        <v>24</v>
      </c>
      <c r="D276" s="6" t="str">
        <f>"17/40"</f>
        <v>17/40</v>
      </c>
      <c r="E276" s="6">
        <v>0.7</v>
      </c>
      <c r="F276" s="6" t="s">
        <v>1476</v>
      </c>
      <c r="G276" s="6" t="s">
        <v>1477</v>
      </c>
      <c r="H276" t="s">
        <v>15</v>
      </c>
      <c r="I276" s="1" t="s">
        <v>44</v>
      </c>
      <c r="J276" s="6"/>
    </row>
    <row r="277" spans="1:10" x14ac:dyDescent="0.2">
      <c r="A277" s="1" t="s">
        <v>2325</v>
      </c>
      <c r="B277" s="6">
        <v>4</v>
      </c>
      <c r="C277" s="6" t="s">
        <v>7</v>
      </c>
      <c r="D277" s="6" t="str">
        <f>"7/32"</f>
        <v>7/32</v>
      </c>
      <c r="E277" s="6">
        <v>1.3</v>
      </c>
      <c r="F277" s="6" t="s">
        <v>2326</v>
      </c>
      <c r="G277" s="6" t="s">
        <v>2327</v>
      </c>
      <c r="H277" t="s">
        <v>15</v>
      </c>
      <c r="I277" s="1" t="s">
        <v>40</v>
      </c>
      <c r="J277" s="6"/>
    </row>
    <row r="278" spans="1:10" x14ac:dyDescent="0.2">
      <c r="A278" s="1" t="s">
        <v>2610</v>
      </c>
      <c r="B278" s="6">
        <v>4</v>
      </c>
      <c r="C278" s="6" t="s">
        <v>24</v>
      </c>
      <c r="D278" s="6" t="str">
        <f>"52/142"</f>
        <v>52/142</v>
      </c>
      <c r="E278" s="6">
        <v>1.2</v>
      </c>
      <c r="F278" s="6" t="s">
        <v>2611</v>
      </c>
      <c r="G278" s="6" t="s">
        <v>2612</v>
      </c>
      <c r="H278" t="s">
        <v>10</v>
      </c>
      <c r="I278" s="1" t="s">
        <v>361</v>
      </c>
      <c r="J278" s="6"/>
    </row>
    <row r="279" spans="1:10" x14ac:dyDescent="0.2">
      <c r="A279" s="1" t="s">
        <v>33</v>
      </c>
      <c r="B279" s="6">
        <v>3.9</v>
      </c>
      <c r="C279" s="6" t="s">
        <v>24</v>
      </c>
      <c r="D279" s="6" t="str">
        <f>"114/275"</f>
        <v>114/275</v>
      </c>
      <c r="E279" s="6">
        <v>0.5</v>
      </c>
      <c r="F279" s="6" t="s">
        <v>34</v>
      </c>
      <c r="G279" s="6" t="s">
        <v>35</v>
      </c>
      <c r="H279" t="s">
        <v>15</v>
      </c>
      <c r="I279" s="1" t="s">
        <v>36</v>
      </c>
      <c r="J279" s="6"/>
    </row>
    <row r="280" spans="1:10" x14ac:dyDescent="0.2">
      <c r="A280" s="1" t="s">
        <v>221</v>
      </c>
      <c r="B280" s="6">
        <v>3.9</v>
      </c>
      <c r="C280" s="6" t="s">
        <v>7</v>
      </c>
      <c r="D280" s="6" t="str">
        <f>"32/137"</f>
        <v>32/137</v>
      </c>
      <c r="E280" s="6">
        <v>0.9</v>
      </c>
      <c r="F280" s="6" t="s">
        <v>222</v>
      </c>
      <c r="G280" s="6" t="s">
        <v>223</v>
      </c>
      <c r="H280" t="s">
        <v>10</v>
      </c>
      <c r="I280" s="1" t="s">
        <v>133</v>
      </c>
      <c r="J280" s="6"/>
    </row>
    <row r="281" spans="1:10" x14ac:dyDescent="0.2">
      <c r="A281" s="1" t="s">
        <v>371</v>
      </c>
      <c r="B281" s="6">
        <v>3.9</v>
      </c>
      <c r="C281" s="6" t="s">
        <v>24</v>
      </c>
      <c r="D281" s="6" t="str">
        <f>"37/136"</f>
        <v>37/136</v>
      </c>
      <c r="E281" s="6">
        <v>2</v>
      </c>
      <c r="F281" s="6" t="s">
        <v>372</v>
      </c>
      <c r="G281" s="6" t="s">
        <v>373</v>
      </c>
      <c r="H281" t="s">
        <v>15</v>
      </c>
      <c r="I281" s="1" t="s">
        <v>248</v>
      </c>
      <c r="J281" s="6"/>
    </row>
    <row r="282" spans="1:10" x14ac:dyDescent="0.2">
      <c r="A282" s="1" t="s">
        <v>555</v>
      </c>
      <c r="B282" s="6">
        <v>3.9</v>
      </c>
      <c r="C282" s="6" t="s">
        <v>24</v>
      </c>
      <c r="D282" s="6" t="str">
        <f>"68/145"</f>
        <v>68/145</v>
      </c>
      <c r="E282" s="6">
        <v>0.4</v>
      </c>
      <c r="F282" s="6" t="s">
        <v>556</v>
      </c>
      <c r="G282" s="6" t="s">
        <v>557</v>
      </c>
      <c r="H282" t="s">
        <v>15</v>
      </c>
      <c r="I282" s="1" t="s">
        <v>133</v>
      </c>
      <c r="J282" s="6"/>
    </row>
    <row r="283" spans="1:10" x14ac:dyDescent="0.2">
      <c r="A283" s="1" t="s">
        <v>611</v>
      </c>
      <c r="B283" s="6">
        <v>3.9</v>
      </c>
      <c r="C283" s="6" t="s">
        <v>7</v>
      </c>
      <c r="D283" s="6" t="str">
        <f>"12/267"</f>
        <v>12/267</v>
      </c>
      <c r="E283" s="6">
        <v>0.4</v>
      </c>
      <c r="F283" s="6" t="s">
        <v>612</v>
      </c>
      <c r="G283" s="6" t="s">
        <v>613</v>
      </c>
      <c r="H283" t="s">
        <v>27</v>
      </c>
      <c r="I283" s="1" t="s">
        <v>16</v>
      </c>
      <c r="J283" s="6"/>
    </row>
    <row r="284" spans="1:10" x14ac:dyDescent="0.2">
      <c r="A284" s="1" t="s">
        <v>746</v>
      </c>
      <c r="B284" s="6">
        <v>3.9</v>
      </c>
      <c r="C284" s="6" t="s">
        <v>7</v>
      </c>
      <c r="D284" s="6" t="str">
        <f>"32/137"</f>
        <v>32/137</v>
      </c>
      <c r="E284" s="6">
        <v>0.5</v>
      </c>
      <c r="F284" s="6" t="s">
        <v>747</v>
      </c>
      <c r="G284" s="6" t="s">
        <v>748</v>
      </c>
      <c r="H284" t="s">
        <v>27</v>
      </c>
      <c r="I284" s="1" t="s">
        <v>69</v>
      </c>
      <c r="J284" s="6"/>
    </row>
    <row r="285" spans="1:10" x14ac:dyDescent="0.2">
      <c r="A285" s="1" t="s">
        <v>796</v>
      </c>
      <c r="B285" s="6">
        <v>3.9</v>
      </c>
      <c r="C285" s="6" t="s">
        <v>7</v>
      </c>
      <c r="D285" s="6" t="str">
        <f>"3/16"</f>
        <v>3/16</v>
      </c>
      <c r="E285" s="6">
        <v>0.9</v>
      </c>
      <c r="F285" s="6" t="s">
        <v>797</v>
      </c>
      <c r="G285" s="6" t="s">
        <v>798</v>
      </c>
      <c r="H285" t="s">
        <v>15</v>
      </c>
      <c r="I285" s="1" t="s">
        <v>77</v>
      </c>
      <c r="J285" s="6"/>
    </row>
    <row r="286" spans="1:10" x14ac:dyDescent="0.2">
      <c r="A286" s="1" t="s">
        <v>1195</v>
      </c>
      <c r="B286" s="6">
        <v>3.9</v>
      </c>
      <c r="C286" s="6" t="s">
        <v>24</v>
      </c>
      <c r="D286" s="6" t="str">
        <f>"53/202"</f>
        <v>53/202</v>
      </c>
      <c r="E286" s="6">
        <v>1.5</v>
      </c>
      <c r="F286" s="6" t="s">
        <v>1196</v>
      </c>
      <c r="G286" s="6" t="s">
        <v>1197</v>
      </c>
      <c r="H286" t="s">
        <v>27</v>
      </c>
      <c r="I286" s="1" t="s">
        <v>677</v>
      </c>
      <c r="J286" s="6"/>
    </row>
    <row r="287" spans="1:10" x14ac:dyDescent="0.2">
      <c r="A287" s="1" t="s">
        <v>1459</v>
      </c>
      <c r="B287" s="6">
        <v>3.9</v>
      </c>
      <c r="C287" s="6" t="s">
        <v>7</v>
      </c>
      <c r="D287" s="6" t="str">
        <f>"12/267"</f>
        <v>12/267</v>
      </c>
      <c r="E287" s="6">
        <v>0.5</v>
      </c>
      <c r="F287" s="6" t="s">
        <v>1460</v>
      </c>
      <c r="G287" s="6" t="s">
        <v>1461</v>
      </c>
      <c r="H287" t="s">
        <v>15</v>
      </c>
      <c r="I287" s="1" t="s">
        <v>16</v>
      </c>
      <c r="J287" s="6"/>
    </row>
    <row r="288" spans="1:10" x14ac:dyDescent="0.2">
      <c r="A288" s="1" t="s">
        <v>1472</v>
      </c>
      <c r="B288" s="6">
        <v>3.9</v>
      </c>
      <c r="C288" s="6" t="s">
        <v>24</v>
      </c>
      <c r="D288" s="6" t="str">
        <f>"17/63"</f>
        <v>17/63</v>
      </c>
      <c r="E288" s="6">
        <v>0.9</v>
      </c>
      <c r="F288" s="6" t="s">
        <v>1473</v>
      </c>
      <c r="G288" s="6" t="s">
        <v>1474</v>
      </c>
      <c r="H288" t="s">
        <v>15</v>
      </c>
      <c r="I288" s="1" t="s">
        <v>77</v>
      </c>
      <c r="J288" s="6"/>
    </row>
    <row r="289" spans="1:10" x14ac:dyDescent="0.2">
      <c r="A289" s="1" t="s">
        <v>1589</v>
      </c>
      <c r="B289" s="6">
        <v>3.9</v>
      </c>
      <c r="C289" s="6" t="s">
        <v>24</v>
      </c>
      <c r="D289" s="6" t="str">
        <f>"53/142"</f>
        <v>53/142</v>
      </c>
      <c r="E289" s="6">
        <v>1.1000000000000001</v>
      </c>
      <c r="F289" s="6" t="s">
        <v>1590</v>
      </c>
      <c r="G289" s="6" t="s">
        <v>1591</v>
      </c>
      <c r="H289" t="s">
        <v>15</v>
      </c>
      <c r="I289" s="1" t="s">
        <v>77</v>
      </c>
      <c r="J289" s="6"/>
    </row>
    <row r="290" spans="1:10" ht="28.5" x14ac:dyDescent="0.2">
      <c r="A290" s="1" t="s">
        <v>2027</v>
      </c>
      <c r="B290" s="6">
        <v>3.9</v>
      </c>
      <c r="C290" s="6" t="s">
        <v>24</v>
      </c>
      <c r="D290" s="6" t="str">
        <f>"100/275"</f>
        <v>100/275</v>
      </c>
      <c r="E290" s="6">
        <v>0.7</v>
      </c>
      <c r="F290" s="6" t="s">
        <v>2028</v>
      </c>
      <c r="G290" s="6" t="s">
        <v>2029</v>
      </c>
      <c r="H290" t="s">
        <v>27</v>
      </c>
      <c r="I290" s="1" t="s">
        <v>512</v>
      </c>
      <c r="J290" s="6"/>
    </row>
    <row r="291" spans="1:10" ht="28.5" x14ac:dyDescent="0.2">
      <c r="A291" s="1" t="s">
        <v>2118</v>
      </c>
      <c r="B291" s="6">
        <v>3.9</v>
      </c>
      <c r="C291" s="6" t="s">
        <v>24</v>
      </c>
      <c r="D291" s="6" t="str">
        <f>"100/275"</f>
        <v>100/275</v>
      </c>
      <c r="E291" s="6">
        <v>0.7</v>
      </c>
      <c r="F291" s="6" t="s">
        <v>2119</v>
      </c>
      <c r="G291" s="6" t="s">
        <v>2119</v>
      </c>
      <c r="H291" t="s">
        <v>27</v>
      </c>
      <c r="I291" s="1" t="s">
        <v>512</v>
      </c>
      <c r="J291" s="6"/>
    </row>
    <row r="292" spans="1:10" x14ac:dyDescent="0.2">
      <c r="A292" s="1" t="s">
        <v>2166</v>
      </c>
      <c r="B292" s="6">
        <v>3.9</v>
      </c>
      <c r="C292" s="6" t="s">
        <v>7</v>
      </c>
      <c r="D292" s="6" t="str">
        <f>"12/267"</f>
        <v>12/267</v>
      </c>
      <c r="E292" s="6">
        <v>1.2</v>
      </c>
      <c r="F292" s="6" t="s">
        <v>2167</v>
      </c>
      <c r="G292" s="6" t="s">
        <v>2168</v>
      </c>
      <c r="H292" t="s">
        <v>102</v>
      </c>
      <c r="I292" s="1" t="s">
        <v>103</v>
      </c>
      <c r="J292" s="6"/>
    </row>
    <row r="293" spans="1:10" x14ac:dyDescent="0.2">
      <c r="A293" s="1" t="s">
        <v>2351</v>
      </c>
      <c r="B293" s="6">
        <v>3.9</v>
      </c>
      <c r="C293" s="6" t="s">
        <v>18</v>
      </c>
      <c r="D293" s="6" t="str">
        <f>"70/119"</f>
        <v>70/119</v>
      </c>
      <c r="E293" s="6">
        <v>0.9</v>
      </c>
      <c r="F293" s="6" t="s">
        <v>2352</v>
      </c>
      <c r="G293" s="6" t="s">
        <v>2353</v>
      </c>
      <c r="H293" t="s">
        <v>27</v>
      </c>
      <c r="I293" s="1" t="s">
        <v>69</v>
      </c>
      <c r="J293" s="6"/>
    </row>
    <row r="294" spans="1:10" x14ac:dyDescent="0.2">
      <c r="A294" s="1" t="s">
        <v>2402</v>
      </c>
      <c r="B294" s="6">
        <v>3.9</v>
      </c>
      <c r="C294" s="6" t="s">
        <v>24</v>
      </c>
      <c r="D294" s="6" t="str">
        <f>"100/275"</f>
        <v>100/275</v>
      </c>
      <c r="E294" s="6">
        <v>0.8</v>
      </c>
      <c r="F294" s="6" t="s">
        <v>2403</v>
      </c>
      <c r="G294" s="6" t="s">
        <v>2404</v>
      </c>
      <c r="H294" t="s">
        <v>292</v>
      </c>
      <c r="I294" s="1" t="s">
        <v>293</v>
      </c>
      <c r="J294" s="6"/>
    </row>
    <row r="295" spans="1:10" x14ac:dyDescent="0.2">
      <c r="A295" s="1" t="s">
        <v>2411</v>
      </c>
      <c r="B295" s="6">
        <v>3.9</v>
      </c>
      <c r="C295" s="6" t="s">
        <v>7</v>
      </c>
      <c r="D295" s="6" t="str">
        <f>"9/43"</f>
        <v>9/43</v>
      </c>
      <c r="E295" s="6">
        <v>0.7</v>
      </c>
      <c r="F295" s="6" t="s">
        <v>60</v>
      </c>
      <c r="G295" s="6" t="s">
        <v>2412</v>
      </c>
      <c r="H295" t="s">
        <v>15</v>
      </c>
      <c r="I295" s="1" t="s">
        <v>77</v>
      </c>
      <c r="J295" s="6"/>
    </row>
    <row r="296" spans="1:10" x14ac:dyDescent="0.2">
      <c r="A296" s="1" t="s">
        <v>2461</v>
      </c>
      <c r="B296" s="6">
        <v>3.9</v>
      </c>
      <c r="C296" s="6" t="s">
        <v>24</v>
      </c>
      <c r="D296" s="6" t="str">
        <f>"44/96"</f>
        <v>44/96</v>
      </c>
      <c r="E296" s="6">
        <v>1.4</v>
      </c>
      <c r="F296" s="6" t="s">
        <v>2462</v>
      </c>
      <c r="G296" s="6" t="s">
        <v>2462</v>
      </c>
      <c r="H296" t="s">
        <v>27</v>
      </c>
      <c r="I296" s="1" t="s">
        <v>103</v>
      </c>
      <c r="J296" s="6"/>
    </row>
    <row r="297" spans="1:10" ht="28.5" x14ac:dyDescent="0.2">
      <c r="A297" s="1" t="s">
        <v>2590</v>
      </c>
      <c r="B297" s="6">
        <v>3.9</v>
      </c>
      <c r="C297" s="6" t="s">
        <v>24</v>
      </c>
      <c r="D297" s="6" t="str">
        <f>"22/68"</f>
        <v>22/68</v>
      </c>
      <c r="E297" s="6">
        <v>0.5</v>
      </c>
      <c r="F297" s="6" t="s">
        <v>2591</v>
      </c>
      <c r="G297" s="6" t="s">
        <v>2592</v>
      </c>
      <c r="H297" t="s">
        <v>15</v>
      </c>
      <c r="I297" s="1" t="s">
        <v>32</v>
      </c>
      <c r="J297" s="6"/>
    </row>
    <row r="298" spans="1:10" x14ac:dyDescent="0.2">
      <c r="A298" s="1" t="s">
        <v>1500</v>
      </c>
      <c r="B298" s="6">
        <v>3.8</v>
      </c>
      <c r="C298" s="6" t="s">
        <v>24</v>
      </c>
      <c r="D298" s="6" t="str">
        <f>"9/32"</f>
        <v>9/32</v>
      </c>
      <c r="E298" s="6">
        <v>0.7</v>
      </c>
      <c r="F298" s="6" t="s">
        <v>1501</v>
      </c>
      <c r="G298" s="6" t="s">
        <v>1502</v>
      </c>
      <c r="H298" t="s">
        <v>15</v>
      </c>
      <c r="I298" s="1" t="s">
        <v>44</v>
      </c>
      <c r="J298" s="6"/>
    </row>
    <row r="299" spans="1:10" x14ac:dyDescent="0.2">
      <c r="A299" s="1" t="s">
        <v>1529</v>
      </c>
      <c r="B299" s="6">
        <v>3.8</v>
      </c>
      <c r="C299" s="6" t="s">
        <v>24</v>
      </c>
      <c r="D299" s="6" t="str">
        <f>"36/137"</f>
        <v>36/137</v>
      </c>
      <c r="E299" s="6">
        <v>1</v>
      </c>
      <c r="F299" s="6" t="s">
        <v>1530</v>
      </c>
      <c r="G299" s="6" t="s">
        <v>1531</v>
      </c>
      <c r="H299" t="s">
        <v>15</v>
      </c>
      <c r="I299" s="1" t="s">
        <v>40</v>
      </c>
      <c r="J299" s="6"/>
    </row>
    <row r="300" spans="1:10" x14ac:dyDescent="0.2">
      <c r="A300" s="1" t="s">
        <v>2343</v>
      </c>
      <c r="B300" s="6">
        <v>3.8</v>
      </c>
      <c r="C300" s="6" t="s">
        <v>18</v>
      </c>
      <c r="D300" s="6" t="str">
        <f>"74/119"</f>
        <v>74/119</v>
      </c>
      <c r="E300" s="6">
        <v>0.7</v>
      </c>
      <c r="F300" s="6" t="s">
        <v>2344</v>
      </c>
      <c r="G300" s="6" t="s">
        <v>2345</v>
      </c>
      <c r="H300" t="s">
        <v>10</v>
      </c>
      <c r="I300" s="1" t="s">
        <v>11</v>
      </c>
      <c r="J300" s="6"/>
    </row>
    <row r="301" spans="1:10" x14ac:dyDescent="0.2">
      <c r="A301" s="1" t="s">
        <v>2357</v>
      </c>
      <c r="B301" s="6">
        <v>3.8</v>
      </c>
      <c r="C301" s="6" t="s">
        <v>18</v>
      </c>
      <c r="D301" s="6" t="str">
        <f>"74/119"</f>
        <v>74/119</v>
      </c>
      <c r="E301" s="6">
        <v>1</v>
      </c>
      <c r="F301" s="6" t="s">
        <v>2358</v>
      </c>
      <c r="G301" s="6" t="s">
        <v>2358</v>
      </c>
      <c r="H301" t="s">
        <v>15</v>
      </c>
      <c r="I301" s="1" t="s">
        <v>16</v>
      </c>
      <c r="J301" s="6"/>
    </row>
    <row r="302" spans="1:10" x14ac:dyDescent="0.2">
      <c r="A302" s="1" t="s">
        <v>2582</v>
      </c>
      <c r="B302" s="6">
        <v>3.8</v>
      </c>
      <c r="C302" s="6" t="s">
        <v>24</v>
      </c>
      <c r="D302" s="6" t="str">
        <f>"46/139"</f>
        <v>46/139</v>
      </c>
      <c r="E302" s="6">
        <v>1.1000000000000001</v>
      </c>
      <c r="F302" s="6" t="s">
        <v>60</v>
      </c>
      <c r="G302" s="6" t="s">
        <v>2583</v>
      </c>
      <c r="H302" t="s">
        <v>292</v>
      </c>
      <c r="I302" s="1" t="s">
        <v>708</v>
      </c>
      <c r="J302" s="6"/>
    </row>
    <row r="303" spans="1:10" x14ac:dyDescent="0.2">
      <c r="A303" s="1" t="s">
        <v>2599</v>
      </c>
      <c r="B303" s="6">
        <v>3.8</v>
      </c>
      <c r="C303" s="6" t="s">
        <v>24</v>
      </c>
      <c r="D303" s="6" t="str">
        <f>"62/158"</f>
        <v>62/158</v>
      </c>
      <c r="E303" s="6">
        <v>0.8</v>
      </c>
      <c r="F303" s="6" t="s">
        <v>2600</v>
      </c>
      <c r="G303" s="6" t="s">
        <v>2601</v>
      </c>
      <c r="H303" t="s">
        <v>10</v>
      </c>
      <c r="I303" s="1" t="s">
        <v>133</v>
      </c>
      <c r="J303" s="6"/>
    </row>
    <row r="304" spans="1:10" x14ac:dyDescent="0.2">
      <c r="A304" s="1" t="s">
        <v>195</v>
      </c>
      <c r="B304" s="6">
        <v>3.7</v>
      </c>
      <c r="C304" s="6" t="s">
        <v>24</v>
      </c>
      <c r="D304" s="6" t="str">
        <f>"40/136"</f>
        <v>40/136</v>
      </c>
      <c r="E304" s="6">
        <v>0.5</v>
      </c>
      <c r="F304" s="6" t="s">
        <v>196</v>
      </c>
      <c r="G304" s="6" t="s">
        <v>197</v>
      </c>
      <c r="H304" t="s">
        <v>15</v>
      </c>
      <c r="I304" s="1" t="s">
        <v>44</v>
      </c>
      <c r="J304" s="6"/>
    </row>
    <row r="305" spans="1:10" x14ac:dyDescent="0.2">
      <c r="A305" s="1" t="s">
        <v>341</v>
      </c>
      <c r="B305" s="6">
        <v>3.7</v>
      </c>
      <c r="C305" s="6" t="s">
        <v>24</v>
      </c>
      <c r="D305" s="6" t="str">
        <f>"49/139"</f>
        <v>49/139</v>
      </c>
      <c r="E305" s="6">
        <v>0.8</v>
      </c>
      <c r="F305" s="6" t="s">
        <v>342</v>
      </c>
      <c r="G305" s="6" t="s">
        <v>343</v>
      </c>
      <c r="H305" t="s">
        <v>319</v>
      </c>
      <c r="I305" s="1" t="s">
        <v>44</v>
      </c>
      <c r="J305" s="6"/>
    </row>
    <row r="306" spans="1:10" x14ac:dyDescent="0.2">
      <c r="A306" s="1" t="s">
        <v>1207</v>
      </c>
      <c r="B306" s="6">
        <v>3.7</v>
      </c>
      <c r="C306" s="6" t="s">
        <v>7</v>
      </c>
      <c r="D306" s="6" t="str">
        <f>"6/34"</f>
        <v>6/34</v>
      </c>
      <c r="E306" s="6">
        <v>0.9</v>
      </c>
      <c r="F306" s="6" t="s">
        <v>1208</v>
      </c>
      <c r="G306" s="6" t="s">
        <v>1209</v>
      </c>
      <c r="H306" t="s">
        <v>15</v>
      </c>
      <c r="I306" s="1" t="s">
        <v>338</v>
      </c>
      <c r="J306" s="6"/>
    </row>
    <row r="307" spans="1:10" x14ac:dyDescent="0.2">
      <c r="A307" s="1" t="s">
        <v>1595</v>
      </c>
      <c r="B307" s="6">
        <v>3.7</v>
      </c>
      <c r="C307" s="6" t="s">
        <v>18</v>
      </c>
      <c r="D307" s="6" t="str">
        <f>"22/41"</f>
        <v>22/41</v>
      </c>
      <c r="E307" s="6">
        <v>1.1000000000000001</v>
      </c>
      <c r="F307" s="6" t="s">
        <v>1596</v>
      </c>
      <c r="G307" s="6" t="s">
        <v>1597</v>
      </c>
      <c r="H307" t="s">
        <v>27</v>
      </c>
      <c r="I307" s="1" t="s">
        <v>677</v>
      </c>
      <c r="J307" s="6"/>
    </row>
    <row r="308" spans="1:10" x14ac:dyDescent="0.2">
      <c r="A308" s="1" t="s">
        <v>45</v>
      </c>
      <c r="B308" s="6">
        <v>3.6</v>
      </c>
      <c r="C308" s="6" t="s">
        <v>24</v>
      </c>
      <c r="D308" s="6" t="str">
        <f>"43/136"</f>
        <v>43/136</v>
      </c>
      <c r="E308" s="6">
        <v>0.6</v>
      </c>
      <c r="F308" s="6" t="s">
        <v>46</v>
      </c>
      <c r="G308" s="6" t="s">
        <v>47</v>
      </c>
      <c r="H308" t="s">
        <v>15</v>
      </c>
      <c r="I308" s="1" t="s">
        <v>44</v>
      </c>
      <c r="J308" s="6"/>
    </row>
    <row r="309" spans="1:10" x14ac:dyDescent="0.2">
      <c r="A309" s="1" t="s">
        <v>237</v>
      </c>
      <c r="B309" s="6">
        <v>3.6</v>
      </c>
      <c r="C309" s="6" t="s">
        <v>7</v>
      </c>
      <c r="D309" s="6" t="str">
        <f>"4/19"</f>
        <v>4/19</v>
      </c>
      <c r="E309" s="6">
        <v>0.9</v>
      </c>
      <c r="F309" s="6" t="s">
        <v>238</v>
      </c>
      <c r="G309" s="6" t="s">
        <v>239</v>
      </c>
      <c r="H309" t="s">
        <v>27</v>
      </c>
      <c r="I309" s="1" t="s">
        <v>240</v>
      </c>
      <c r="J309" s="6"/>
    </row>
    <row r="310" spans="1:10" ht="28.5" x14ac:dyDescent="0.2">
      <c r="A310" s="1" t="s">
        <v>522</v>
      </c>
      <c r="B310" s="6">
        <v>3.6</v>
      </c>
      <c r="C310" s="6" t="s">
        <v>24</v>
      </c>
      <c r="D310" s="6" t="str">
        <f>"29/90"</f>
        <v>29/90</v>
      </c>
      <c r="E310" s="6">
        <v>0.7</v>
      </c>
      <c r="F310" s="6" t="s">
        <v>523</v>
      </c>
      <c r="G310" s="6" t="s">
        <v>524</v>
      </c>
      <c r="H310" t="s">
        <v>27</v>
      </c>
      <c r="I310" s="1" t="s">
        <v>194</v>
      </c>
      <c r="J310" s="6"/>
    </row>
    <row r="311" spans="1:10" x14ac:dyDescent="0.2">
      <c r="A311" s="1" t="s">
        <v>824</v>
      </c>
      <c r="B311" s="6">
        <v>3.6</v>
      </c>
      <c r="C311" s="6" t="s">
        <v>24</v>
      </c>
      <c r="D311" s="6" t="str">
        <f>"31/100"</f>
        <v>31/100</v>
      </c>
      <c r="E311" s="6">
        <v>0.5</v>
      </c>
      <c r="F311" s="6" t="s">
        <v>825</v>
      </c>
      <c r="G311" s="6" t="s">
        <v>826</v>
      </c>
      <c r="H311" t="s">
        <v>27</v>
      </c>
      <c r="I311" s="1" t="s">
        <v>69</v>
      </c>
      <c r="J311" s="6"/>
    </row>
    <row r="312" spans="1:10" x14ac:dyDescent="0.2">
      <c r="A312" s="1" t="s">
        <v>914</v>
      </c>
      <c r="B312" s="6">
        <v>3.6</v>
      </c>
      <c r="C312" s="6" t="s">
        <v>24</v>
      </c>
      <c r="D312" s="6" t="str">
        <f>"30/86"</f>
        <v>30/86</v>
      </c>
      <c r="E312" s="6">
        <v>0.6</v>
      </c>
      <c r="F312" s="6" t="s">
        <v>915</v>
      </c>
      <c r="G312" s="6" t="s">
        <v>916</v>
      </c>
      <c r="H312" t="s">
        <v>15</v>
      </c>
      <c r="I312" s="1" t="s">
        <v>44</v>
      </c>
      <c r="J312" s="6"/>
    </row>
    <row r="313" spans="1:10" x14ac:dyDescent="0.2">
      <c r="A313" s="1" t="s">
        <v>1145</v>
      </c>
      <c r="B313" s="6">
        <v>3.6</v>
      </c>
      <c r="C313" s="6" t="s">
        <v>24</v>
      </c>
      <c r="D313" s="6" t="str">
        <f>"18/40"</f>
        <v>18/40</v>
      </c>
      <c r="E313" s="6">
        <v>0.7</v>
      </c>
      <c r="F313" s="6" t="s">
        <v>1146</v>
      </c>
      <c r="G313" s="6" t="s">
        <v>1147</v>
      </c>
      <c r="H313" t="s">
        <v>27</v>
      </c>
      <c r="I313" s="1" t="s">
        <v>69</v>
      </c>
      <c r="J313" s="6"/>
    </row>
    <row r="314" spans="1:10" ht="28.5" x14ac:dyDescent="0.2">
      <c r="A314" s="1" t="s">
        <v>1204</v>
      </c>
      <c r="B314" s="6">
        <v>3.6</v>
      </c>
      <c r="C314" s="6" t="s">
        <v>24</v>
      </c>
      <c r="D314" s="6" t="str">
        <f>"39/137"</f>
        <v>39/137</v>
      </c>
      <c r="E314" s="6">
        <v>0.8</v>
      </c>
      <c r="F314" s="6" t="s">
        <v>1205</v>
      </c>
      <c r="G314" s="6" t="s">
        <v>1206</v>
      </c>
      <c r="H314" t="s">
        <v>15</v>
      </c>
      <c r="I314" s="1" t="s">
        <v>755</v>
      </c>
      <c r="J314" s="6"/>
    </row>
    <row r="315" spans="1:10" x14ac:dyDescent="0.2">
      <c r="A315" s="1" t="s">
        <v>1352</v>
      </c>
      <c r="B315" s="6">
        <v>3.6</v>
      </c>
      <c r="C315" s="6" t="s">
        <v>24</v>
      </c>
      <c r="D315" s="6" t="str">
        <f>"51/139"</f>
        <v>51/139</v>
      </c>
      <c r="E315" s="6">
        <v>1.1000000000000001</v>
      </c>
      <c r="F315" s="6" t="s">
        <v>1353</v>
      </c>
      <c r="G315" s="6" t="s">
        <v>1354</v>
      </c>
      <c r="H315" t="s">
        <v>27</v>
      </c>
      <c r="I315" s="1" t="s">
        <v>677</v>
      </c>
      <c r="J315" s="6"/>
    </row>
    <row r="316" spans="1:10" ht="28.5" x14ac:dyDescent="0.2">
      <c r="A316" s="1" t="s">
        <v>1438</v>
      </c>
      <c r="B316" s="6">
        <v>3.6</v>
      </c>
      <c r="C316" s="6" t="s">
        <v>24</v>
      </c>
      <c r="D316" s="6" t="str">
        <f>"39/137"</f>
        <v>39/137</v>
      </c>
      <c r="E316" s="6">
        <v>1.2</v>
      </c>
      <c r="F316" s="6" t="s">
        <v>1439</v>
      </c>
      <c r="G316" s="6" t="s">
        <v>1440</v>
      </c>
      <c r="H316" t="s">
        <v>1342</v>
      </c>
      <c r="I316" s="1" t="s">
        <v>1343</v>
      </c>
      <c r="J316" s="6"/>
    </row>
    <row r="317" spans="1:10" x14ac:dyDescent="0.2">
      <c r="A317" s="1" t="s">
        <v>1448</v>
      </c>
      <c r="B317" s="6">
        <v>3.6</v>
      </c>
      <c r="C317" s="6" t="s">
        <v>24</v>
      </c>
      <c r="D317" s="6" t="str">
        <f>"39/137"</f>
        <v>39/137</v>
      </c>
      <c r="E317" s="6">
        <v>1</v>
      </c>
      <c r="F317" s="6" t="s">
        <v>1449</v>
      </c>
      <c r="G317" s="6" t="s">
        <v>1450</v>
      </c>
      <c r="H317" t="s">
        <v>15</v>
      </c>
      <c r="I317" s="1" t="s">
        <v>40</v>
      </c>
      <c r="J317" s="6"/>
    </row>
    <row r="318" spans="1:10" x14ac:dyDescent="0.2">
      <c r="A318" s="1" t="s">
        <v>1632</v>
      </c>
      <c r="B318" s="6">
        <v>3.6</v>
      </c>
      <c r="C318" s="6" t="s">
        <v>24</v>
      </c>
      <c r="D318" s="6" t="str">
        <f>"29/90"</f>
        <v>29/90</v>
      </c>
      <c r="E318" s="6">
        <v>1.4</v>
      </c>
      <c r="F318" s="6" t="s">
        <v>1633</v>
      </c>
      <c r="G318" s="6" t="s">
        <v>1634</v>
      </c>
      <c r="H318" t="s">
        <v>102</v>
      </c>
      <c r="I318" s="1" t="s">
        <v>103</v>
      </c>
      <c r="J318" s="6"/>
    </row>
    <row r="319" spans="1:10" ht="28.5" x14ac:dyDescent="0.2">
      <c r="A319" s="1" t="s">
        <v>1867</v>
      </c>
      <c r="B319" s="6">
        <v>3.6</v>
      </c>
      <c r="C319" s="6" t="s">
        <v>7</v>
      </c>
      <c r="D319" s="6" t="str">
        <f>"6/31"</f>
        <v>6/31</v>
      </c>
      <c r="E319" s="6">
        <v>1.5</v>
      </c>
      <c r="F319" s="6" t="s">
        <v>1868</v>
      </c>
      <c r="G319" s="6" t="s">
        <v>1869</v>
      </c>
      <c r="H319" t="s">
        <v>27</v>
      </c>
      <c r="I319" s="1" t="s">
        <v>512</v>
      </c>
      <c r="J319" s="6"/>
    </row>
    <row r="320" spans="1:10" ht="28.5" x14ac:dyDescent="0.2">
      <c r="A320" s="1" t="s">
        <v>1949</v>
      </c>
      <c r="B320" s="6">
        <v>3.6</v>
      </c>
      <c r="C320" s="6" t="s">
        <v>24</v>
      </c>
      <c r="D320" s="6" t="str">
        <f>"10/24"</f>
        <v>10/24</v>
      </c>
      <c r="E320" s="6">
        <v>0.7</v>
      </c>
      <c r="F320" s="6" t="s">
        <v>1950</v>
      </c>
      <c r="G320" s="6" t="s">
        <v>1951</v>
      </c>
      <c r="H320" t="s">
        <v>27</v>
      </c>
      <c r="I320" s="1" t="s">
        <v>512</v>
      </c>
      <c r="J320" s="6"/>
    </row>
    <row r="321" spans="1:10" ht="28.5" x14ac:dyDescent="0.2">
      <c r="A321" s="1" t="s">
        <v>2044</v>
      </c>
      <c r="B321" s="6">
        <v>3.6</v>
      </c>
      <c r="C321" s="6" t="s">
        <v>24</v>
      </c>
      <c r="D321" s="6" t="str">
        <f>"107/275"</f>
        <v>107/275</v>
      </c>
      <c r="E321" s="6">
        <v>1</v>
      </c>
      <c r="F321" s="6" t="s">
        <v>2045</v>
      </c>
      <c r="G321" s="6" t="s">
        <v>2046</v>
      </c>
      <c r="H321" t="s">
        <v>27</v>
      </c>
      <c r="I321" s="1" t="s">
        <v>512</v>
      </c>
      <c r="J321" s="6"/>
    </row>
    <row r="322" spans="1:10" ht="28.5" x14ac:dyDescent="0.2">
      <c r="A322" s="1" t="s">
        <v>2076</v>
      </c>
      <c r="B322" s="6">
        <v>3.6</v>
      </c>
      <c r="C322" s="6" t="s">
        <v>24</v>
      </c>
      <c r="D322" s="6" t="str">
        <f>"107/275"</f>
        <v>107/275</v>
      </c>
      <c r="E322" s="6">
        <v>1.7</v>
      </c>
      <c r="F322" s="6" t="s">
        <v>2077</v>
      </c>
      <c r="G322" s="6" t="s">
        <v>2078</v>
      </c>
      <c r="H322" t="s">
        <v>27</v>
      </c>
      <c r="I322" s="1" t="s">
        <v>512</v>
      </c>
      <c r="J322" s="6"/>
    </row>
    <row r="323" spans="1:10" ht="28.5" x14ac:dyDescent="0.2">
      <c r="A323" s="1" t="s">
        <v>2115</v>
      </c>
      <c r="B323" s="6">
        <v>3.6</v>
      </c>
      <c r="C323" s="6" t="s">
        <v>7</v>
      </c>
      <c r="D323" s="6" t="str">
        <f>"6/34"</f>
        <v>6/34</v>
      </c>
      <c r="E323" s="6">
        <v>1</v>
      </c>
      <c r="F323" s="6" t="s">
        <v>2116</v>
      </c>
      <c r="G323" s="6" t="s">
        <v>2117</v>
      </c>
      <c r="H323" t="s">
        <v>27</v>
      </c>
      <c r="I323" s="1" t="s">
        <v>512</v>
      </c>
      <c r="J323" s="6"/>
    </row>
    <row r="324" spans="1:10" x14ac:dyDescent="0.2">
      <c r="A324" s="1" t="s">
        <v>2575</v>
      </c>
      <c r="B324" s="6">
        <v>3.6</v>
      </c>
      <c r="C324" s="6" t="s">
        <v>24</v>
      </c>
      <c r="D324" s="6" t="str">
        <f>"67/202"</f>
        <v>67/202</v>
      </c>
      <c r="E324" s="6">
        <v>1.2</v>
      </c>
      <c r="F324" s="6" t="s">
        <v>2576</v>
      </c>
      <c r="G324" s="6" t="s">
        <v>2577</v>
      </c>
      <c r="H324" t="s">
        <v>119</v>
      </c>
      <c r="I324" s="1" t="s">
        <v>120</v>
      </c>
      <c r="J324" s="6"/>
    </row>
    <row r="325" spans="1:10" ht="28.5" x14ac:dyDescent="0.2">
      <c r="A325" s="1" t="s">
        <v>2800</v>
      </c>
      <c r="B325" s="6">
        <v>3.6</v>
      </c>
      <c r="C325" s="6" t="s">
        <v>24</v>
      </c>
      <c r="D325" s="6" t="str">
        <f>"24/50"</f>
        <v>24/50</v>
      </c>
      <c r="E325" s="6">
        <v>0.2</v>
      </c>
      <c r="F325" s="6" t="s">
        <v>2801</v>
      </c>
      <c r="G325" s="6" t="s">
        <v>2802</v>
      </c>
      <c r="H325" t="s">
        <v>226</v>
      </c>
      <c r="I325" s="1" t="s">
        <v>2803</v>
      </c>
      <c r="J325" s="6"/>
    </row>
    <row r="326" spans="1:10" x14ac:dyDescent="0.2">
      <c r="A326" s="1" t="s">
        <v>259</v>
      </c>
      <c r="B326" s="6">
        <v>3.5</v>
      </c>
      <c r="C326" s="6" t="s">
        <v>24</v>
      </c>
      <c r="D326" s="6" t="str">
        <f>"46/136"</f>
        <v>46/136</v>
      </c>
      <c r="E326" s="6">
        <v>0.7</v>
      </c>
      <c r="F326" s="6" t="s">
        <v>260</v>
      </c>
      <c r="G326" s="6" t="s">
        <v>261</v>
      </c>
      <c r="H326" t="s">
        <v>21</v>
      </c>
      <c r="I326" s="1" t="s">
        <v>22</v>
      </c>
      <c r="J326" s="6"/>
    </row>
    <row r="327" spans="1:10" x14ac:dyDescent="0.2">
      <c r="A327" s="1" t="s">
        <v>262</v>
      </c>
      <c r="B327" s="6">
        <v>3.5</v>
      </c>
      <c r="C327" s="6" t="s">
        <v>24</v>
      </c>
      <c r="D327" s="6" t="str">
        <f>"112/275"</f>
        <v>112/275</v>
      </c>
      <c r="E327" s="6">
        <v>0.7</v>
      </c>
      <c r="F327" s="6" t="s">
        <v>263</v>
      </c>
      <c r="G327" s="6" t="s">
        <v>264</v>
      </c>
      <c r="H327" t="s">
        <v>102</v>
      </c>
      <c r="I327" s="1" t="s">
        <v>103</v>
      </c>
      <c r="J327" s="6"/>
    </row>
    <row r="328" spans="1:10" x14ac:dyDescent="0.2">
      <c r="A328" s="1" t="s">
        <v>816</v>
      </c>
      <c r="B328" s="6">
        <v>3.5</v>
      </c>
      <c r="C328" s="6" t="s">
        <v>24</v>
      </c>
      <c r="D328" s="6" t="str">
        <f>"46/136"</f>
        <v>46/136</v>
      </c>
      <c r="E328" s="6">
        <v>0.9</v>
      </c>
      <c r="F328" s="6" t="s">
        <v>60</v>
      </c>
      <c r="G328" s="6" t="s">
        <v>817</v>
      </c>
      <c r="H328" t="s">
        <v>292</v>
      </c>
      <c r="I328" s="1" t="s">
        <v>708</v>
      </c>
      <c r="J328" s="6"/>
    </row>
    <row r="329" spans="1:10" ht="28.5" x14ac:dyDescent="0.2">
      <c r="A329" s="1" t="s">
        <v>1685</v>
      </c>
      <c r="B329" s="6">
        <v>3.5</v>
      </c>
      <c r="C329" s="6" t="s">
        <v>24</v>
      </c>
      <c r="D329" s="6" t="str">
        <f>"42/137"</f>
        <v>42/137</v>
      </c>
      <c r="E329" s="6">
        <v>0.9</v>
      </c>
      <c r="F329" s="6" t="s">
        <v>1686</v>
      </c>
      <c r="G329" s="6" t="s">
        <v>1687</v>
      </c>
      <c r="H329" t="s">
        <v>1342</v>
      </c>
      <c r="I329" s="1" t="s">
        <v>1343</v>
      </c>
      <c r="J329" s="6"/>
    </row>
    <row r="330" spans="1:10" ht="28.5" x14ac:dyDescent="0.2">
      <c r="A330" s="1" t="s">
        <v>2112</v>
      </c>
      <c r="B330" s="6">
        <v>3.5</v>
      </c>
      <c r="C330" s="6" t="s">
        <v>24</v>
      </c>
      <c r="D330" s="6" t="str">
        <f>"112/275"</f>
        <v>112/275</v>
      </c>
      <c r="E330" s="6">
        <v>1.8</v>
      </c>
      <c r="F330" s="6" t="s">
        <v>2113</v>
      </c>
      <c r="G330" s="6" t="s">
        <v>2114</v>
      </c>
      <c r="H330" t="s">
        <v>27</v>
      </c>
      <c r="I330" s="1" t="s">
        <v>512</v>
      </c>
      <c r="J330" s="6"/>
    </row>
    <row r="331" spans="1:10" x14ac:dyDescent="0.2">
      <c r="A331" s="1" t="s">
        <v>2246</v>
      </c>
      <c r="B331" s="6">
        <v>3.5</v>
      </c>
      <c r="C331" s="6" t="s">
        <v>24</v>
      </c>
      <c r="D331" s="6" t="str">
        <f>"18/63"</f>
        <v>18/63</v>
      </c>
      <c r="E331" s="6">
        <v>1.3</v>
      </c>
      <c r="F331" s="6" t="s">
        <v>2247</v>
      </c>
      <c r="G331" s="6" t="s">
        <v>2248</v>
      </c>
      <c r="H331" t="s">
        <v>27</v>
      </c>
      <c r="I331" s="1" t="s">
        <v>69</v>
      </c>
      <c r="J331" s="6"/>
    </row>
    <row r="332" spans="1:10" x14ac:dyDescent="0.2">
      <c r="A332" s="1" t="s">
        <v>2444</v>
      </c>
      <c r="B332" s="6">
        <v>3.5</v>
      </c>
      <c r="C332" s="6" t="s">
        <v>24</v>
      </c>
      <c r="D332" s="6" t="str">
        <f>"31/90"</f>
        <v>31/90</v>
      </c>
      <c r="E332" s="6">
        <v>3</v>
      </c>
      <c r="F332" s="6" t="s">
        <v>2445</v>
      </c>
      <c r="G332" s="6" t="s">
        <v>2446</v>
      </c>
      <c r="H332" t="s">
        <v>15</v>
      </c>
      <c r="I332" s="1" t="s">
        <v>77</v>
      </c>
      <c r="J332" s="6"/>
    </row>
    <row r="333" spans="1:10" x14ac:dyDescent="0.2">
      <c r="A333" s="1" t="s">
        <v>2639</v>
      </c>
      <c r="B333" s="6">
        <v>3.5</v>
      </c>
      <c r="C333" s="6" t="s">
        <v>24</v>
      </c>
      <c r="D333" s="6" t="str">
        <f>"15/30"</f>
        <v>15/30</v>
      </c>
      <c r="E333" s="6">
        <v>0.7</v>
      </c>
      <c r="F333" s="6" t="s">
        <v>2640</v>
      </c>
      <c r="G333" s="6" t="s">
        <v>2641</v>
      </c>
      <c r="H333" t="s">
        <v>102</v>
      </c>
      <c r="I333" s="1" t="s">
        <v>133</v>
      </c>
      <c r="J333" s="6"/>
    </row>
    <row r="334" spans="1:10" x14ac:dyDescent="0.2">
      <c r="A334" s="1" t="s">
        <v>2839</v>
      </c>
      <c r="B334" s="6">
        <v>3.5</v>
      </c>
      <c r="C334" s="6" t="s">
        <v>24</v>
      </c>
      <c r="D334" s="6" t="str">
        <f>"42/137"</f>
        <v>42/137</v>
      </c>
      <c r="E334" s="6">
        <v>1.3</v>
      </c>
      <c r="F334" s="6" t="s">
        <v>2840</v>
      </c>
      <c r="G334" s="6" t="s">
        <v>2841</v>
      </c>
      <c r="H334" t="s">
        <v>51</v>
      </c>
      <c r="I334" s="1" t="s">
        <v>361</v>
      </c>
      <c r="J334" s="6"/>
    </row>
    <row r="335" spans="1:10" x14ac:dyDescent="0.2">
      <c r="A335" s="1" t="s">
        <v>2849</v>
      </c>
      <c r="B335" s="6">
        <v>3.5</v>
      </c>
      <c r="C335" s="6" t="s">
        <v>7</v>
      </c>
      <c r="D335" s="6" t="str">
        <f>"7/34"</f>
        <v>7/34</v>
      </c>
      <c r="E335" s="6">
        <v>0.8</v>
      </c>
      <c r="F335" s="6" t="s">
        <v>2850</v>
      </c>
      <c r="G335" s="6" t="s">
        <v>2851</v>
      </c>
      <c r="H335" t="s">
        <v>27</v>
      </c>
      <c r="I335" s="1" t="s">
        <v>40</v>
      </c>
      <c r="J335" s="6"/>
    </row>
    <row r="336" spans="1:10" x14ac:dyDescent="0.2">
      <c r="A336" s="1" t="s">
        <v>513</v>
      </c>
      <c r="B336" s="6">
        <v>3.4</v>
      </c>
      <c r="C336" s="6" t="s">
        <v>24</v>
      </c>
      <c r="D336" s="6" t="str">
        <f>"20/63"</f>
        <v>20/63</v>
      </c>
      <c r="E336" s="6" t="s">
        <v>60</v>
      </c>
      <c r="F336" s="6" t="s">
        <v>514</v>
      </c>
      <c r="G336" s="6" t="s">
        <v>515</v>
      </c>
      <c r="H336" t="s">
        <v>27</v>
      </c>
      <c r="I336" s="1" t="s">
        <v>194</v>
      </c>
      <c r="J336" s="6"/>
    </row>
    <row r="337" spans="1:10" x14ac:dyDescent="0.2">
      <c r="A337" s="1" t="s">
        <v>684</v>
      </c>
      <c r="B337" s="6">
        <v>3.4</v>
      </c>
      <c r="C337" s="6" t="s">
        <v>24</v>
      </c>
      <c r="D337" s="6" t="str">
        <f>"44/137"</f>
        <v>44/137</v>
      </c>
      <c r="E337" s="6">
        <v>0.4</v>
      </c>
      <c r="F337" s="6" t="s">
        <v>685</v>
      </c>
      <c r="G337" s="6" t="s">
        <v>686</v>
      </c>
      <c r="H337" t="s">
        <v>102</v>
      </c>
      <c r="I337" s="1" t="s">
        <v>133</v>
      </c>
      <c r="J337" s="6"/>
    </row>
    <row r="338" spans="1:10" x14ac:dyDescent="0.2">
      <c r="A338" s="1" t="s">
        <v>706</v>
      </c>
      <c r="B338" s="6">
        <v>3.4</v>
      </c>
      <c r="C338" s="6" t="s">
        <v>24</v>
      </c>
      <c r="D338" s="6" t="str">
        <f>"29/86"</f>
        <v>29/86</v>
      </c>
      <c r="E338" s="6">
        <v>0.9</v>
      </c>
      <c r="F338" s="6" t="s">
        <v>707</v>
      </c>
      <c r="G338" s="6" t="s">
        <v>707</v>
      </c>
      <c r="H338" t="s">
        <v>292</v>
      </c>
      <c r="I338" s="1" t="s">
        <v>708</v>
      </c>
      <c r="J338" s="6"/>
    </row>
    <row r="339" spans="1:10" x14ac:dyDescent="0.2">
      <c r="A339" s="1" t="s">
        <v>1213</v>
      </c>
      <c r="B339" s="6">
        <v>3.4</v>
      </c>
      <c r="C339" s="6" t="s">
        <v>24</v>
      </c>
      <c r="D339" s="6" t="str">
        <f>"135/275"</f>
        <v>135/275</v>
      </c>
      <c r="E339" s="6">
        <v>0.6</v>
      </c>
      <c r="F339" s="6" t="s">
        <v>1214</v>
      </c>
      <c r="G339" s="6" t="s">
        <v>1214</v>
      </c>
      <c r="H339" t="s">
        <v>299</v>
      </c>
      <c r="I339" s="1" t="s">
        <v>133</v>
      </c>
      <c r="J339" s="6"/>
    </row>
    <row r="340" spans="1:10" ht="28.5" x14ac:dyDescent="0.2">
      <c r="A340" s="1" t="s">
        <v>1241</v>
      </c>
      <c r="B340" s="6">
        <v>3.4</v>
      </c>
      <c r="C340" s="6" t="s">
        <v>24</v>
      </c>
      <c r="D340" s="6" t="str">
        <f>"73/269"</f>
        <v>73/269</v>
      </c>
      <c r="E340" s="6">
        <v>0.4</v>
      </c>
      <c r="F340" s="6" t="s">
        <v>1242</v>
      </c>
      <c r="G340" s="6" t="s">
        <v>1243</v>
      </c>
      <c r="H340" t="s">
        <v>27</v>
      </c>
      <c r="I340" s="1" t="s">
        <v>1226</v>
      </c>
      <c r="J340" s="6"/>
    </row>
    <row r="341" spans="1:10" ht="28.5" x14ac:dyDescent="0.2">
      <c r="A341" s="1" t="s">
        <v>1645</v>
      </c>
      <c r="B341" s="6">
        <v>3.4</v>
      </c>
      <c r="C341" s="6" t="s">
        <v>24</v>
      </c>
      <c r="D341" s="6" t="str">
        <f>"54/139"</f>
        <v>54/139</v>
      </c>
      <c r="E341" s="6">
        <v>1.3</v>
      </c>
      <c r="F341" s="6" t="s">
        <v>1646</v>
      </c>
      <c r="G341" s="6" t="s">
        <v>1647</v>
      </c>
      <c r="H341" t="s">
        <v>21</v>
      </c>
      <c r="I341" s="1" t="s">
        <v>133</v>
      </c>
      <c r="J341" s="6"/>
    </row>
    <row r="342" spans="1:10" ht="28.5" x14ac:dyDescent="0.2">
      <c r="A342" s="1" t="s">
        <v>1706</v>
      </c>
      <c r="B342" s="6">
        <v>3.4</v>
      </c>
      <c r="C342" s="6" t="s">
        <v>24</v>
      </c>
      <c r="D342" s="6" t="str">
        <f>"29/65"</f>
        <v>29/65</v>
      </c>
      <c r="E342" s="6">
        <v>0.7</v>
      </c>
      <c r="F342" s="6" t="s">
        <v>1707</v>
      </c>
      <c r="G342" s="6" t="s">
        <v>1708</v>
      </c>
      <c r="H342" t="s">
        <v>15</v>
      </c>
      <c r="I342" s="1" t="s">
        <v>271</v>
      </c>
      <c r="J342" s="6"/>
    </row>
    <row r="343" spans="1:10" ht="28.5" x14ac:dyDescent="0.2">
      <c r="A343" s="1" t="s">
        <v>2054</v>
      </c>
      <c r="B343" s="6">
        <v>3.4</v>
      </c>
      <c r="C343" s="6" t="s">
        <v>18</v>
      </c>
      <c r="D343" s="6" t="str">
        <f>"53/96"</f>
        <v>53/96</v>
      </c>
      <c r="E343" s="6">
        <v>0.8</v>
      </c>
      <c r="F343" s="6" t="s">
        <v>2055</v>
      </c>
      <c r="G343" s="6" t="s">
        <v>2055</v>
      </c>
      <c r="H343" t="s">
        <v>27</v>
      </c>
      <c r="I343" s="1" t="s">
        <v>512</v>
      </c>
      <c r="J343" s="6"/>
    </row>
    <row r="344" spans="1:10" x14ac:dyDescent="0.2">
      <c r="A344" s="1" t="s">
        <v>2188</v>
      </c>
      <c r="B344" s="6">
        <v>3.4</v>
      </c>
      <c r="C344" s="6" t="s">
        <v>18</v>
      </c>
      <c r="D344" s="6" t="str">
        <f>"77/119"</f>
        <v>77/119</v>
      </c>
      <c r="E344" s="6">
        <v>0.7</v>
      </c>
      <c r="F344" s="6" t="s">
        <v>2189</v>
      </c>
      <c r="G344" s="6" t="s">
        <v>2189</v>
      </c>
      <c r="H344" t="s">
        <v>292</v>
      </c>
      <c r="I344" s="1" t="s">
        <v>2190</v>
      </c>
      <c r="J344" s="6"/>
    </row>
    <row r="345" spans="1:10" x14ac:dyDescent="0.2">
      <c r="A345" s="1" t="s">
        <v>2267</v>
      </c>
      <c r="B345" s="6">
        <v>3.4</v>
      </c>
      <c r="C345" s="6" t="s">
        <v>24</v>
      </c>
      <c r="D345" s="6" t="str">
        <f>"29/65"</f>
        <v>29/65</v>
      </c>
      <c r="E345" s="6">
        <v>0.8</v>
      </c>
      <c r="F345" s="6" t="s">
        <v>2268</v>
      </c>
      <c r="G345" s="6" t="s">
        <v>2269</v>
      </c>
      <c r="H345" t="s">
        <v>319</v>
      </c>
      <c r="I345" s="1" t="s">
        <v>103</v>
      </c>
      <c r="J345" s="6"/>
    </row>
    <row r="346" spans="1:10" x14ac:dyDescent="0.2">
      <c r="A346" s="1" t="s">
        <v>2613</v>
      </c>
      <c r="B346" s="6">
        <v>3.4</v>
      </c>
      <c r="C346" s="6" t="s">
        <v>24</v>
      </c>
      <c r="D346" s="6" t="str">
        <f>"32/90"</f>
        <v>32/90</v>
      </c>
      <c r="E346" s="6">
        <v>0.7</v>
      </c>
      <c r="F346" s="6" t="s">
        <v>2614</v>
      </c>
      <c r="G346" s="6" t="s">
        <v>2615</v>
      </c>
      <c r="H346" t="s">
        <v>15</v>
      </c>
      <c r="I346" s="1" t="s">
        <v>730</v>
      </c>
      <c r="J346" s="6"/>
    </row>
    <row r="347" spans="1:10" x14ac:dyDescent="0.2">
      <c r="A347" s="1" t="s">
        <v>81</v>
      </c>
      <c r="B347" s="6">
        <v>3.3</v>
      </c>
      <c r="C347" s="6" t="s">
        <v>24</v>
      </c>
      <c r="D347" s="6" t="str">
        <f>"20/40"</f>
        <v>20/40</v>
      </c>
      <c r="E347" s="6">
        <v>14.6</v>
      </c>
      <c r="F347" s="6" t="s">
        <v>82</v>
      </c>
      <c r="G347" s="6" t="s">
        <v>83</v>
      </c>
      <c r="H347" t="s">
        <v>51</v>
      </c>
      <c r="I347" s="1" t="s">
        <v>44</v>
      </c>
      <c r="J347" s="6"/>
    </row>
    <row r="348" spans="1:10" x14ac:dyDescent="0.2">
      <c r="A348" s="1" t="s">
        <v>734</v>
      </c>
      <c r="B348" s="6">
        <v>3.3</v>
      </c>
      <c r="C348" s="6" t="s">
        <v>24</v>
      </c>
      <c r="D348" s="6" t="str">
        <f>"51/136"</f>
        <v>51/136</v>
      </c>
      <c r="E348" s="6">
        <v>1</v>
      </c>
      <c r="F348" s="6" t="s">
        <v>735</v>
      </c>
      <c r="G348" s="6" t="s">
        <v>735</v>
      </c>
      <c r="H348" t="s">
        <v>15</v>
      </c>
      <c r="I348" s="1" t="s">
        <v>40</v>
      </c>
      <c r="J348" s="6"/>
    </row>
    <row r="349" spans="1:10" x14ac:dyDescent="0.2">
      <c r="A349" s="1" t="s">
        <v>807</v>
      </c>
      <c r="B349" s="6">
        <v>3.3</v>
      </c>
      <c r="C349" s="6" t="s">
        <v>24</v>
      </c>
      <c r="D349" s="6" t="str">
        <f>"114/275"</f>
        <v>114/275</v>
      </c>
      <c r="E349" s="6">
        <v>0.4</v>
      </c>
      <c r="F349" s="6" t="s">
        <v>808</v>
      </c>
      <c r="G349" s="6" t="s">
        <v>809</v>
      </c>
      <c r="H349" t="s">
        <v>27</v>
      </c>
      <c r="I349" s="1" t="s">
        <v>133</v>
      </c>
      <c r="J349" s="6"/>
    </row>
    <row r="350" spans="1:10" x14ac:dyDescent="0.2">
      <c r="A350" s="1" t="s">
        <v>1101</v>
      </c>
      <c r="B350" s="6">
        <v>3.3</v>
      </c>
      <c r="C350" s="6" t="s">
        <v>24</v>
      </c>
      <c r="D350" s="6" t="str">
        <f>"51/136"</f>
        <v>51/136</v>
      </c>
      <c r="E350" s="6">
        <v>1</v>
      </c>
      <c r="F350" s="6" t="s">
        <v>1102</v>
      </c>
      <c r="G350" s="6" t="s">
        <v>1103</v>
      </c>
      <c r="H350" t="s">
        <v>27</v>
      </c>
      <c r="I350" s="1" t="s">
        <v>763</v>
      </c>
      <c r="J350" s="6"/>
    </row>
    <row r="351" spans="1:10" x14ac:dyDescent="0.2">
      <c r="A351" s="1" t="s">
        <v>1151</v>
      </c>
      <c r="B351" s="6">
        <v>3.3</v>
      </c>
      <c r="C351" s="6" t="s">
        <v>18</v>
      </c>
      <c r="D351" s="6" t="str">
        <f>"79/145"</f>
        <v>79/145</v>
      </c>
      <c r="E351" s="6">
        <v>0.6</v>
      </c>
      <c r="F351" s="6" t="s">
        <v>1152</v>
      </c>
      <c r="G351" s="6" t="s">
        <v>1153</v>
      </c>
      <c r="H351" t="s">
        <v>102</v>
      </c>
      <c r="I351" s="1" t="s">
        <v>133</v>
      </c>
      <c r="J351" s="6"/>
    </row>
    <row r="352" spans="1:10" x14ac:dyDescent="0.2">
      <c r="A352" s="1" t="s">
        <v>1154</v>
      </c>
      <c r="B352" s="6">
        <v>3.3</v>
      </c>
      <c r="C352" s="6" t="s">
        <v>24</v>
      </c>
      <c r="D352" s="6" t="str">
        <f>"55/139"</f>
        <v>55/139</v>
      </c>
      <c r="E352" s="6">
        <v>0.4</v>
      </c>
      <c r="F352" s="6" t="s">
        <v>1155</v>
      </c>
      <c r="G352" s="6" t="s">
        <v>1156</v>
      </c>
      <c r="H352" t="s">
        <v>27</v>
      </c>
      <c r="I352" s="1" t="s">
        <v>677</v>
      </c>
      <c r="J352" s="6"/>
    </row>
    <row r="353" spans="1:10" x14ac:dyDescent="0.2">
      <c r="A353" s="1" t="s">
        <v>1232</v>
      </c>
      <c r="B353" s="6">
        <v>3.3</v>
      </c>
      <c r="C353" s="6" t="s">
        <v>24</v>
      </c>
      <c r="D353" s="6" t="str">
        <f>"51/136"</f>
        <v>51/136</v>
      </c>
      <c r="E353" s="6">
        <v>1.6</v>
      </c>
      <c r="F353" s="6" t="s">
        <v>1233</v>
      </c>
      <c r="G353" s="6" t="s">
        <v>1234</v>
      </c>
      <c r="H353" t="s">
        <v>27</v>
      </c>
      <c r="I353" s="1" t="s">
        <v>677</v>
      </c>
      <c r="J353" s="6"/>
    </row>
    <row r="354" spans="1:10" ht="28.5" x14ac:dyDescent="0.2">
      <c r="A354" s="1" t="s">
        <v>1564</v>
      </c>
      <c r="B354" s="6">
        <v>3.3</v>
      </c>
      <c r="C354" s="6" t="s">
        <v>24</v>
      </c>
      <c r="D354" s="6" t="str">
        <f>"31/86"</f>
        <v>31/86</v>
      </c>
      <c r="E354" s="6">
        <v>0.6</v>
      </c>
      <c r="F354" s="6" t="s">
        <v>1565</v>
      </c>
      <c r="G354" s="6" t="s">
        <v>1566</v>
      </c>
      <c r="H354" t="s">
        <v>119</v>
      </c>
      <c r="I354" s="1" t="s">
        <v>1567</v>
      </c>
      <c r="J354" s="6"/>
    </row>
    <row r="355" spans="1:10" x14ac:dyDescent="0.2">
      <c r="A355" s="1" t="s">
        <v>1571</v>
      </c>
      <c r="B355" s="6">
        <v>3.3</v>
      </c>
      <c r="C355" s="6" t="s">
        <v>24</v>
      </c>
      <c r="D355" s="6" t="str">
        <f>"37/100"</f>
        <v>37/100</v>
      </c>
      <c r="E355" s="6">
        <v>0.4</v>
      </c>
      <c r="F355" s="6" t="s">
        <v>1572</v>
      </c>
      <c r="G355" s="6" t="s">
        <v>1573</v>
      </c>
      <c r="H355" t="s">
        <v>27</v>
      </c>
      <c r="I355" s="1" t="s">
        <v>16</v>
      </c>
      <c r="J355" s="6"/>
    </row>
    <row r="356" spans="1:10" x14ac:dyDescent="0.2">
      <c r="A356" s="1" t="s">
        <v>1592</v>
      </c>
      <c r="B356" s="6">
        <v>3.3</v>
      </c>
      <c r="C356" s="6" t="s">
        <v>24</v>
      </c>
      <c r="D356" s="6" t="str">
        <f>"21/63"</f>
        <v>21/63</v>
      </c>
      <c r="E356" s="6">
        <v>0.7</v>
      </c>
      <c r="F356" s="6" t="s">
        <v>1593</v>
      </c>
      <c r="G356" s="6" t="s">
        <v>1594</v>
      </c>
      <c r="H356" t="s">
        <v>27</v>
      </c>
      <c r="I356" s="1" t="s">
        <v>69</v>
      </c>
      <c r="J356" s="6"/>
    </row>
    <row r="357" spans="1:10" x14ac:dyDescent="0.2">
      <c r="A357" s="1" t="s">
        <v>2337</v>
      </c>
      <c r="B357" s="6">
        <v>3.3</v>
      </c>
      <c r="C357" s="6" t="s">
        <v>7</v>
      </c>
      <c r="D357" s="6" t="str">
        <f>"23/107"</f>
        <v>23/107</v>
      </c>
      <c r="E357" s="6">
        <v>1.5</v>
      </c>
      <c r="F357" s="6" t="s">
        <v>2338</v>
      </c>
      <c r="G357" s="6" t="s">
        <v>2339</v>
      </c>
      <c r="H357" t="s">
        <v>15</v>
      </c>
      <c r="I357" s="1" t="s">
        <v>77</v>
      </c>
      <c r="J357" s="6"/>
    </row>
    <row r="358" spans="1:10" x14ac:dyDescent="0.2">
      <c r="A358" s="1" t="s">
        <v>2426</v>
      </c>
      <c r="B358" s="6">
        <v>3.3</v>
      </c>
      <c r="C358" s="6" t="s">
        <v>24</v>
      </c>
      <c r="D358" s="6" t="str">
        <f>"51/136"</f>
        <v>51/136</v>
      </c>
      <c r="E358" s="6">
        <v>0.6</v>
      </c>
      <c r="F358" s="6" t="s">
        <v>2427</v>
      </c>
      <c r="G358" s="6" t="s">
        <v>2428</v>
      </c>
      <c r="H358" t="s">
        <v>27</v>
      </c>
      <c r="I358" s="1" t="s">
        <v>69</v>
      </c>
      <c r="J358" s="6"/>
    </row>
    <row r="359" spans="1:10" x14ac:dyDescent="0.2">
      <c r="A359" s="1" t="s">
        <v>2481</v>
      </c>
      <c r="B359" s="6">
        <v>3.3</v>
      </c>
      <c r="C359" s="6" t="s">
        <v>7</v>
      </c>
      <c r="D359" s="6" t="str">
        <f>"23/107"</f>
        <v>23/107</v>
      </c>
      <c r="E359" s="6">
        <v>0.4</v>
      </c>
      <c r="F359" s="6" t="s">
        <v>2482</v>
      </c>
      <c r="G359" s="6" t="s">
        <v>2483</v>
      </c>
      <c r="H359" t="s">
        <v>10</v>
      </c>
      <c r="I359" s="1" t="s">
        <v>1410</v>
      </c>
      <c r="J359" s="6"/>
    </row>
    <row r="360" spans="1:10" x14ac:dyDescent="0.2">
      <c r="A360" s="1" t="s">
        <v>70</v>
      </c>
      <c r="B360" s="6">
        <v>3.2</v>
      </c>
      <c r="C360" s="6" t="s">
        <v>24</v>
      </c>
      <c r="D360" s="6" t="str">
        <f>"55/136"</f>
        <v>55/136</v>
      </c>
      <c r="E360" s="6">
        <v>0.9</v>
      </c>
      <c r="F360" s="6" t="s">
        <v>71</v>
      </c>
      <c r="G360" s="6" t="s">
        <v>72</v>
      </c>
      <c r="H360" t="s">
        <v>27</v>
      </c>
      <c r="I360" s="1" t="s">
        <v>73</v>
      </c>
      <c r="J360" s="6"/>
    </row>
    <row r="361" spans="1:10" x14ac:dyDescent="0.2">
      <c r="A361" s="1" t="s">
        <v>217</v>
      </c>
      <c r="B361" s="6">
        <v>3.2</v>
      </c>
      <c r="C361" s="6" t="s">
        <v>24</v>
      </c>
      <c r="D361" s="6" t="str">
        <f>"56/139"</f>
        <v>56/139</v>
      </c>
      <c r="E361" s="6">
        <v>0.9</v>
      </c>
      <c r="F361" s="6" t="s">
        <v>218</v>
      </c>
      <c r="G361" s="6" t="s">
        <v>219</v>
      </c>
      <c r="H361" t="s">
        <v>10</v>
      </c>
      <c r="I361" s="1" t="s">
        <v>220</v>
      </c>
      <c r="J361" s="6"/>
    </row>
    <row r="362" spans="1:10" x14ac:dyDescent="0.2">
      <c r="A362" s="1" t="s">
        <v>358</v>
      </c>
      <c r="B362" s="6">
        <v>3.2</v>
      </c>
      <c r="C362" s="6" t="s">
        <v>24</v>
      </c>
      <c r="D362" s="6" t="str">
        <f>"36/90"</f>
        <v>36/90</v>
      </c>
      <c r="E362" s="6">
        <v>0.2</v>
      </c>
      <c r="F362" s="6" t="s">
        <v>359</v>
      </c>
      <c r="G362" s="6" t="s">
        <v>360</v>
      </c>
      <c r="H362" t="s">
        <v>15</v>
      </c>
      <c r="I362" s="1" t="s">
        <v>361</v>
      </c>
      <c r="J362" s="6"/>
    </row>
    <row r="363" spans="1:10" x14ac:dyDescent="0.2">
      <c r="A363" s="1" t="s">
        <v>731</v>
      </c>
      <c r="B363" s="6">
        <v>3.2</v>
      </c>
      <c r="C363" s="6" t="s">
        <v>24</v>
      </c>
      <c r="D363" s="6" t="str">
        <f>"17/55"</f>
        <v>17/55</v>
      </c>
      <c r="E363" s="6">
        <v>0.6</v>
      </c>
      <c r="F363" s="6" t="s">
        <v>732</v>
      </c>
      <c r="G363" s="6" t="s">
        <v>733</v>
      </c>
      <c r="H363" t="s">
        <v>10</v>
      </c>
      <c r="I363" s="1" t="s">
        <v>361</v>
      </c>
      <c r="J363" s="6"/>
    </row>
    <row r="364" spans="1:10" x14ac:dyDescent="0.2">
      <c r="A364" s="1" t="s">
        <v>854</v>
      </c>
      <c r="B364" s="6">
        <v>3.2</v>
      </c>
      <c r="C364" s="6" t="s">
        <v>24</v>
      </c>
      <c r="D364" s="6" t="str">
        <f>"62/160"</f>
        <v>62/160</v>
      </c>
      <c r="E364" s="6">
        <v>0.8</v>
      </c>
      <c r="F364" s="6" t="s">
        <v>855</v>
      </c>
      <c r="G364" s="6" t="s">
        <v>856</v>
      </c>
      <c r="H364" t="s">
        <v>51</v>
      </c>
      <c r="I364" s="1" t="s">
        <v>857</v>
      </c>
      <c r="J364" s="6"/>
    </row>
    <row r="365" spans="1:10" x14ac:dyDescent="0.2">
      <c r="A365" s="1" t="s">
        <v>1104</v>
      </c>
      <c r="B365" s="6">
        <v>3.2</v>
      </c>
      <c r="C365" s="6" t="s">
        <v>24</v>
      </c>
      <c r="D365" s="6" t="str">
        <f>"56/139"</f>
        <v>56/139</v>
      </c>
      <c r="E365" s="6">
        <v>1.2</v>
      </c>
      <c r="F365" s="6" t="s">
        <v>1105</v>
      </c>
      <c r="G365" s="6" t="s">
        <v>1106</v>
      </c>
      <c r="H365" t="s">
        <v>27</v>
      </c>
      <c r="I365" s="1" t="s">
        <v>677</v>
      </c>
      <c r="J365" s="6"/>
    </row>
    <row r="366" spans="1:10" x14ac:dyDescent="0.2">
      <c r="A366" s="1" t="s">
        <v>1522</v>
      </c>
      <c r="B366" s="6">
        <v>3.2</v>
      </c>
      <c r="C366" s="6" t="s">
        <v>24</v>
      </c>
      <c r="D366" s="6" t="str">
        <f>"48/137"</f>
        <v>48/137</v>
      </c>
      <c r="E366" s="6">
        <v>1</v>
      </c>
      <c r="F366" s="6" t="s">
        <v>1523</v>
      </c>
      <c r="G366" s="6" t="s">
        <v>1524</v>
      </c>
      <c r="H366" t="s">
        <v>15</v>
      </c>
      <c r="I366" s="1" t="s">
        <v>40</v>
      </c>
      <c r="J366" s="6"/>
    </row>
    <row r="367" spans="1:10" ht="42.75" x14ac:dyDescent="0.2">
      <c r="A367" s="1" t="s">
        <v>1638</v>
      </c>
      <c r="B367" s="6">
        <v>3.2</v>
      </c>
      <c r="C367" s="6" t="s">
        <v>24</v>
      </c>
      <c r="D367" s="6" t="str">
        <f>"32/65"</f>
        <v>32/65</v>
      </c>
      <c r="E367" s="6">
        <v>0.6</v>
      </c>
      <c r="F367" s="6" t="s">
        <v>1639</v>
      </c>
      <c r="G367" s="6" t="s">
        <v>1640</v>
      </c>
      <c r="H367" t="s">
        <v>21</v>
      </c>
      <c r="I367" s="1" t="s">
        <v>1641</v>
      </c>
      <c r="J367" s="6"/>
    </row>
    <row r="368" spans="1:10" ht="28.5" x14ac:dyDescent="0.2">
      <c r="A368" s="1" t="s">
        <v>1872</v>
      </c>
      <c r="B368" s="6">
        <v>3.2</v>
      </c>
      <c r="C368" s="6" t="s">
        <v>24</v>
      </c>
      <c r="D368" s="6" t="str">
        <f>"62/160"</f>
        <v>62/160</v>
      </c>
      <c r="E368" s="6">
        <v>1.2</v>
      </c>
      <c r="F368" s="6" t="s">
        <v>1873</v>
      </c>
      <c r="G368" s="6" t="s">
        <v>1874</v>
      </c>
      <c r="H368" t="s">
        <v>27</v>
      </c>
      <c r="I368" s="1" t="s">
        <v>512</v>
      </c>
      <c r="J368" s="6"/>
    </row>
    <row r="369" spans="1:10" ht="28.5" x14ac:dyDescent="0.2">
      <c r="A369" s="1" t="s">
        <v>1887</v>
      </c>
      <c r="B369" s="6">
        <v>3.2</v>
      </c>
      <c r="C369" s="6" t="s">
        <v>24</v>
      </c>
      <c r="D369" s="6" t="str">
        <f>"118/275"</f>
        <v>118/275</v>
      </c>
      <c r="E369" s="6">
        <v>0.8</v>
      </c>
      <c r="F369" s="6" t="s">
        <v>1888</v>
      </c>
      <c r="G369" s="6" t="s">
        <v>1888</v>
      </c>
      <c r="H369" t="s">
        <v>27</v>
      </c>
      <c r="I369" s="1" t="s">
        <v>512</v>
      </c>
      <c r="J369" s="6"/>
    </row>
    <row r="370" spans="1:10" x14ac:dyDescent="0.2">
      <c r="A370" s="1" t="s">
        <v>2157</v>
      </c>
      <c r="B370" s="6">
        <v>3.2</v>
      </c>
      <c r="C370" s="6" t="s">
        <v>24</v>
      </c>
      <c r="D370" s="6" t="str">
        <f>"56/139"</f>
        <v>56/139</v>
      </c>
      <c r="E370" s="6">
        <v>0.6</v>
      </c>
      <c r="F370" s="6" t="s">
        <v>2158</v>
      </c>
      <c r="G370" s="6" t="s">
        <v>2159</v>
      </c>
      <c r="H370" t="s">
        <v>21</v>
      </c>
      <c r="I370" s="1" t="s">
        <v>22</v>
      </c>
      <c r="J370" s="6"/>
    </row>
    <row r="371" spans="1:10" x14ac:dyDescent="0.2">
      <c r="A371" s="1" t="s">
        <v>2237</v>
      </c>
      <c r="B371" s="6">
        <v>3.2</v>
      </c>
      <c r="C371" s="6" t="s">
        <v>24</v>
      </c>
      <c r="D371" s="6" t="str">
        <f>"11/34"</f>
        <v>11/34</v>
      </c>
      <c r="E371" s="6">
        <v>0.5</v>
      </c>
      <c r="F371" s="6" t="s">
        <v>2238</v>
      </c>
      <c r="G371" s="6" t="s">
        <v>2239</v>
      </c>
      <c r="H371" t="s">
        <v>27</v>
      </c>
      <c r="I371" s="1" t="s">
        <v>194</v>
      </c>
      <c r="J371" s="6"/>
    </row>
    <row r="372" spans="1:10" x14ac:dyDescent="0.2">
      <c r="A372" s="1" t="s">
        <v>2380</v>
      </c>
      <c r="B372" s="6">
        <v>3.2</v>
      </c>
      <c r="C372" s="6" t="s">
        <v>18</v>
      </c>
      <c r="D372" s="6" t="str">
        <f>"80/119"</f>
        <v>80/119</v>
      </c>
      <c r="E372" s="6">
        <v>1</v>
      </c>
      <c r="F372" s="6" t="s">
        <v>2381</v>
      </c>
      <c r="G372" s="6" t="s">
        <v>2381</v>
      </c>
      <c r="H372" t="s">
        <v>292</v>
      </c>
      <c r="I372" s="1" t="s">
        <v>708</v>
      </c>
      <c r="J372" s="6"/>
    </row>
    <row r="373" spans="1:10" x14ac:dyDescent="0.2">
      <c r="A373" s="1" t="s">
        <v>2725</v>
      </c>
      <c r="B373" s="6">
        <v>3.2</v>
      </c>
      <c r="C373" s="6" t="s">
        <v>24</v>
      </c>
      <c r="D373" s="6" t="str">
        <f>"8/16"</f>
        <v>8/16</v>
      </c>
      <c r="E373" s="6">
        <v>0.8</v>
      </c>
      <c r="F373" s="6" t="s">
        <v>2726</v>
      </c>
      <c r="G373" s="6" t="s">
        <v>2727</v>
      </c>
      <c r="H373" t="s">
        <v>15</v>
      </c>
      <c r="I373" s="1" t="s">
        <v>77</v>
      </c>
      <c r="J373" s="6"/>
    </row>
    <row r="374" spans="1:10" x14ac:dyDescent="0.2">
      <c r="A374" s="1" t="s">
        <v>1060</v>
      </c>
      <c r="B374" s="6">
        <v>3.1</v>
      </c>
      <c r="C374" s="6" t="s">
        <v>7</v>
      </c>
      <c r="D374" s="6" t="str">
        <f>"2/34"</f>
        <v>2/34</v>
      </c>
      <c r="E374" s="6">
        <v>0.9</v>
      </c>
      <c r="F374" s="6" t="s">
        <v>1061</v>
      </c>
      <c r="G374" s="6" t="s">
        <v>1062</v>
      </c>
      <c r="H374" t="s">
        <v>102</v>
      </c>
      <c r="I374" s="1" t="s">
        <v>103</v>
      </c>
      <c r="J374" s="6"/>
    </row>
    <row r="375" spans="1:10" x14ac:dyDescent="0.2">
      <c r="A375" s="1" t="s">
        <v>1063</v>
      </c>
      <c r="B375" s="6">
        <v>3.1</v>
      </c>
      <c r="C375" s="6" t="s">
        <v>24</v>
      </c>
      <c r="D375" s="6" t="str">
        <f>"49/137"</f>
        <v>49/137</v>
      </c>
      <c r="E375" s="6">
        <v>0.6</v>
      </c>
      <c r="F375" s="6" t="s">
        <v>1064</v>
      </c>
      <c r="G375" s="6" t="s">
        <v>1065</v>
      </c>
      <c r="H375" t="s">
        <v>102</v>
      </c>
      <c r="I375" s="1" t="s">
        <v>103</v>
      </c>
      <c r="J375" s="6"/>
    </row>
    <row r="376" spans="1:10" ht="28.5" x14ac:dyDescent="0.2">
      <c r="A376" s="1" t="s">
        <v>1313</v>
      </c>
      <c r="B376" s="6">
        <v>3.1</v>
      </c>
      <c r="C376" s="6" t="s">
        <v>18</v>
      </c>
      <c r="D376" s="6" t="str">
        <f>"62/110"</f>
        <v>62/110</v>
      </c>
      <c r="E376" s="6">
        <v>0.9</v>
      </c>
      <c r="F376" s="6" t="s">
        <v>1314</v>
      </c>
      <c r="G376" s="6" t="s">
        <v>1315</v>
      </c>
      <c r="H376" t="s">
        <v>27</v>
      </c>
      <c r="I376" s="1" t="s">
        <v>763</v>
      </c>
      <c r="J376" s="6"/>
    </row>
    <row r="377" spans="1:10" x14ac:dyDescent="0.2">
      <c r="A377" s="1" t="s">
        <v>1557</v>
      </c>
      <c r="B377" s="6">
        <v>3.1</v>
      </c>
      <c r="C377" s="6" t="s">
        <v>18</v>
      </c>
      <c r="D377" s="6" t="str">
        <f>"9/16"</f>
        <v>9/16</v>
      </c>
      <c r="E377" s="6">
        <v>0.5</v>
      </c>
      <c r="F377" s="6" t="s">
        <v>1558</v>
      </c>
      <c r="G377" s="6" t="s">
        <v>1559</v>
      </c>
      <c r="H377" t="s">
        <v>102</v>
      </c>
      <c r="I377" s="1" t="s">
        <v>103</v>
      </c>
      <c r="J377" s="6"/>
    </row>
    <row r="378" spans="1:10" ht="28.5" x14ac:dyDescent="0.2">
      <c r="A378" s="1" t="s">
        <v>1709</v>
      </c>
      <c r="B378" s="6">
        <v>3.1</v>
      </c>
      <c r="C378" s="6" t="s">
        <v>24</v>
      </c>
      <c r="D378" s="6" t="str">
        <f>"121/275"</f>
        <v>121/275</v>
      </c>
      <c r="E378" s="6">
        <v>0.5</v>
      </c>
      <c r="F378" s="6" t="s">
        <v>1710</v>
      </c>
      <c r="G378" s="6" t="s">
        <v>1711</v>
      </c>
      <c r="H378" t="s">
        <v>15</v>
      </c>
      <c r="I378" s="1" t="s">
        <v>16</v>
      </c>
      <c r="J378" s="6"/>
    </row>
    <row r="379" spans="1:10" ht="28.5" x14ac:dyDescent="0.2">
      <c r="A379" s="1" t="s">
        <v>1958</v>
      </c>
      <c r="B379" s="6">
        <v>3.1</v>
      </c>
      <c r="C379" s="6" t="s">
        <v>24</v>
      </c>
      <c r="D379" s="6" t="str">
        <f>"66/160"</f>
        <v>66/160</v>
      </c>
      <c r="E379" s="6">
        <v>0.6</v>
      </c>
      <c r="F379" s="6" t="s">
        <v>1959</v>
      </c>
      <c r="G379" s="6" t="s">
        <v>1960</v>
      </c>
      <c r="H379" t="s">
        <v>27</v>
      </c>
      <c r="I379" s="1" t="s">
        <v>512</v>
      </c>
      <c r="J379" s="6"/>
    </row>
    <row r="380" spans="1:10" ht="28.5" x14ac:dyDescent="0.2">
      <c r="A380" s="1" t="s">
        <v>1967</v>
      </c>
      <c r="B380" s="6">
        <v>3.1</v>
      </c>
      <c r="C380" s="6" t="s">
        <v>24</v>
      </c>
      <c r="D380" s="6" t="str">
        <f>"66/160"</f>
        <v>66/160</v>
      </c>
      <c r="E380" s="6">
        <v>0.6</v>
      </c>
      <c r="F380" s="6" t="s">
        <v>1968</v>
      </c>
      <c r="G380" s="6" t="s">
        <v>1969</v>
      </c>
      <c r="H380" t="s">
        <v>27</v>
      </c>
      <c r="I380" s="1" t="s">
        <v>512</v>
      </c>
      <c r="J380" s="6"/>
    </row>
    <row r="381" spans="1:10" ht="28.5" x14ac:dyDescent="0.2">
      <c r="A381" s="1" t="s">
        <v>2021</v>
      </c>
      <c r="B381" s="6">
        <v>3.1</v>
      </c>
      <c r="C381" s="6" t="s">
        <v>24</v>
      </c>
      <c r="D381" s="6" t="str">
        <f>"121/275"</f>
        <v>121/275</v>
      </c>
      <c r="E381" s="6">
        <v>1</v>
      </c>
      <c r="F381" s="6" t="s">
        <v>2022</v>
      </c>
      <c r="G381" s="6" t="s">
        <v>2023</v>
      </c>
      <c r="H381" t="s">
        <v>27</v>
      </c>
      <c r="I381" s="1" t="s">
        <v>512</v>
      </c>
      <c r="J381" s="6"/>
    </row>
    <row r="382" spans="1:10" x14ac:dyDescent="0.2">
      <c r="A382" s="1" t="s">
        <v>2219</v>
      </c>
      <c r="B382" s="6">
        <v>3.1</v>
      </c>
      <c r="C382" s="6" t="s">
        <v>24</v>
      </c>
      <c r="D382" s="6" t="str">
        <f>"59/139"</f>
        <v>59/139</v>
      </c>
      <c r="E382" s="6">
        <v>1.1000000000000001</v>
      </c>
      <c r="F382" s="6" t="s">
        <v>2220</v>
      </c>
      <c r="G382" s="6" t="s">
        <v>2221</v>
      </c>
      <c r="H382" t="s">
        <v>292</v>
      </c>
      <c r="I382" s="1" t="s">
        <v>77</v>
      </c>
      <c r="J382" s="6"/>
    </row>
    <row r="383" spans="1:10" x14ac:dyDescent="0.2">
      <c r="A383" s="1" t="s">
        <v>2222</v>
      </c>
      <c r="B383" s="6">
        <v>3.1</v>
      </c>
      <c r="C383" s="6" t="s">
        <v>7</v>
      </c>
      <c r="D383" s="6" t="str">
        <f>"20/267"</f>
        <v>20/267</v>
      </c>
      <c r="E383" s="6">
        <v>0.7</v>
      </c>
      <c r="F383" s="6" t="s">
        <v>2223</v>
      </c>
      <c r="G383" s="6" t="s">
        <v>2224</v>
      </c>
      <c r="H383" t="s">
        <v>102</v>
      </c>
      <c r="I383" s="1" t="s">
        <v>103</v>
      </c>
      <c r="J383" s="6"/>
    </row>
    <row r="384" spans="1:10" x14ac:dyDescent="0.2">
      <c r="A384" s="1" t="s">
        <v>2859</v>
      </c>
      <c r="B384" s="6">
        <v>3.1</v>
      </c>
      <c r="C384" s="6" t="s">
        <v>18</v>
      </c>
      <c r="D384" s="6" t="str">
        <f>"188/344"</f>
        <v>188/344</v>
      </c>
      <c r="E384" s="6">
        <v>0.3</v>
      </c>
      <c r="F384" s="6" t="s">
        <v>2860</v>
      </c>
      <c r="G384" s="6" t="s">
        <v>2861</v>
      </c>
      <c r="H384" t="s">
        <v>27</v>
      </c>
      <c r="I384" s="1" t="s">
        <v>258</v>
      </c>
      <c r="J384" s="6"/>
    </row>
    <row r="385" spans="1:10" x14ac:dyDescent="0.2">
      <c r="A385" s="1" t="s">
        <v>590</v>
      </c>
      <c r="B385" s="6">
        <v>3</v>
      </c>
      <c r="C385" s="6" t="s">
        <v>24</v>
      </c>
      <c r="D385" s="6" t="str">
        <f>"42/100"</f>
        <v>42/100</v>
      </c>
      <c r="E385" s="6">
        <v>1</v>
      </c>
      <c r="F385" s="6" t="s">
        <v>591</v>
      </c>
      <c r="G385" s="6" t="s">
        <v>592</v>
      </c>
      <c r="H385" t="s">
        <v>102</v>
      </c>
      <c r="I385" s="1" t="s">
        <v>133</v>
      </c>
      <c r="J385" s="6"/>
    </row>
    <row r="386" spans="1:10" ht="28.5" x14ac:dyDescent="0.2">
      <c r="A386" s="1" t="s">
        <v>1253</v>
      </c>
      <c r="B386" s="6">
        <v>3</v>
      </c>
      <c r="C386" s="6" t="s">
        <v>18</v>
      </c>
      <c r="D386" s="6" t="str">
        <f>"83/119"</f>
        <v>83/119</v>
      </c>
      <c r="E386" s="6">
        <v>1.6</v>
      </c>
      <c r="F386" s="6" t="s">
        <v>1254</v>
      </c>
      <c r="G386" s="6" t="s">
        <v>1255</v>
      </c>
      <c r="H386" t="s">
        <v>27</v>
      </c>
      <c r="I386" s="1" t="s">
        <v>763</v>
      </c>
      <c r="J386" s="6"/>
    </row>
    <row r="387" spans="1:10" x14ac:dyDescent="0.2">
      <c r="A387" s="1" t="s">
        <v>1484</v>
      </c>
      <c r="B387" s="6">
        <v>3</v>
      </c>
      <c r="C387" s="6" t="s">
        <v>24</v>
      </c>
      <c r="D387" s="6" t="str">
        <f>"57/136"</f>
        <v>57/136</v>
      </c>
      <c r="E387" s="6">
        <v>0.8</v>
      </c>
      <c r="F387" s="6" t="s">
        <v>1485</v>
      </c>
      <c r="G387" s="6" t="s">
        <v>1486</v>
      </c>
      <c r="H387" t="s">
        <v>15</v>
      </c>
      <c r="I387" s="1" t="s">
        <v>77</v>
      </c>
      <c r="J387" s="6"/>
    </row>
    <row r="388" spans="1:10" ht="28.5" x14ac:dyDescent="0.2">
      <c r="A388" s="1" t="s">
        <v>2067</v>
      </c>
      <c r="B388" s="6">
        <v>3</v>
      </c>
      <c r="C388" s="6" t="s">
        <v>24</v>
      </c>
      <c r="D388" s="6" t="str">
        <f>"69/160"</f>
        <v>69/160</v>
      </c>
      <c r="E388" s="6">
        <v>0.7</v>
      </c>
      <c r="F388" s="6" t="s">
        <v>2068</v>
      </c>
      <c r="G388" s="6" t="s">
        <v>2069</v>
      </c>
      <c r="H388" t="s">
        <v>27</v>
      </c>
      <c r="I388" s="1" t="s">
        <v>512</v>
      </c>
      <c r="J388" s="6"/>
    </row>
    <row r="389" spans="1:10" x14ac:dyDescent="0.2">
      <c r="A389" s="1" t="s">
        <v>2181</v>
      </c>
      <c r="B389" s="6">
        <v>3</v>
      </c>
      <c r="C389" s="6" t="s">
        <v>24</v>
      </c>
      <c r="D389" s="6" t="str">
        <f>"61/139"</f>
        <v>61/139</v>
      </c>
      <c r="E389" s="6">
        <v>0.8</v>
      </c>
      <c r="F389" s="6" t="s">
        <v>2182</v>
      </c>
      <c r="G389" s="6" t="s">
        <v>2183</v>
      </c>
      <c r="H389" t="s">
        <v>51</v>
      </c>
      <c r="I389" s="1" t="s">
        <v>2184</v>
      </c>
      <c r="J389" s="6"/>
    </row>
    <row r="390" spans="1:10" x14ac:dyDescent="0.2">
      <c r="A390" s="1" t="s">
        <v>1157</v>
      </c>
      <c r="B390" s="6">
        <v>2.9</v>
      </c>
      <c r="C390" s="6" t="s">
        <v>24</v>
      </c>
      <c r="D390" s="6" t="str">
        <f>"44/100"</f>
        <v>44/100</v>
      </c>
      <c r="E390" s="6">
        <v>0.3</v>
      </c>
      <c r="F390" s="6" t="s">
        <v>1158</v>
      </c>
      <c r="G390" s="6" t="s">
        <v>1159</v>
      </c>
      <c r="H390" t="s">
        <v>27</v>
      </c>
      <c r="I390" s="1" t="s">
        <v>133</v>
      </c>
      <c r="J390" s="6"/>
    </row>
    <row r="391" spans="1:10" x14ac:dyDescent="0.2">
      <c r="A391" s="1" t="s">
        <v>1454</v>
      </c>
      <c r="B391" s="6">
        <v>2.9</v>
      </c>
      <c r="C391" s="6" t="s">
        <v>18</v>
      </c>
      <c r="D391" s="6" t="str">
        <f>"29/50"</f>
        <v>29/50</v>
      </c>
      <c r="E391" s="6">
        <v>0.5</v>
      </c>
      <c r="F391" s="6" t="s">
        <v>1455</v>
      </c>
      <c r="G391" s="6" t="s">
        <v>1456</v>
      </c>
      <c r="H391" t="s">
        <v>1457</v>
      </c>
      <c r="I391" s="1" t="s">
        <v>1458</v>
      </c>
      <c r="J391" s="6"/>
    </row>
    <row r="392" spans="1:10" ht="28.5" x14ac:dyDescent="0.2">
      <c r="A392" s="1" t="s">
        <v>1718</v>
      </c>
      <c r="B392" s="6">
        <v>2.9</v>
      </c>
      <c r="C392" s="6" t="s">
        <v>24</v>
      </c>
      <c r="D392" s="6" t="str">
        <f>"27/107"</f>
        <v>27/107</v>
      </c>
      <c r="E392" s="6">
        <v>0.5</v>
      </c>
      <c r="F392" s="6" t="s">
        <v>1719</v>
      </c>
      <c r="G392" s="6" t="s">
        <v>1720</v>
      </c>
      <c r="H392" t="s">
        <v>15</v>
      </c>
      <c r="I392" s="1" t="s">
        <v>16</v>
      </c>
      <c r="J392" s="6"/>
    </row>
    <row r="393" spans="1:10" ht="28.5" x14ac:dyDescent="0.2">
      <c r="A393" s="1" t="s">
        <v>1982</v>
      </c>
      <c r="B393" s="6">
        <v>2.9</v>
      </c>
      <c r="C393" s="6" t="s">
        <v>24</v>
      </c>
      <c r="D393" s="6" t="str">
        <f>"25/54"</f>
        <v>25/54</v>
      </c>
      <c r="E393" s="6">
        <v>0.7</v>
      </c>
      <c r="F393" s="6" t="s">
        <v>1983</v>
      </c>
      <c r="G393" s="6" t="s">
        <v>1984</v>
      </c>
      <c r="H393" t="s">
        <v>27</v>
      </c>
      <c r="I393" s="1" t="s">
        <v>512</v>
      </c>
      <c r="J393" s="6"/>
    </row>
    <row r="394" spans="1:10" ht="28.5" x14ac:dyDescent="0.2">
      <c r="A394" s="1" t="s">
        <v>2094</v>
      </c>
      <c r="B394" s="6">
        <v>2.9</v>
      </c>
      <c r="C394" s="6" t="s">
        <v>24</v>
      </c>
      <c r="D394" s="6" t="str">
        <f>"131/275"</f>
        <v>131/275</v>
      </c>
      <c r="E394" s="6">
        <v>1.1000000000000001</v>
      </c>
      <c r="F394" s="6" t="s">
        <v>2095</v>
      </c>
      <c r="G394" s="6" t="s">
        <v>2096</v>
      </c>
      <c r="H394" t="s">
        <v>27</v>
      </c>
      <c r="I394" s="1" t="s">
        <v>512</v>
      </c>
      <c r="J394" s="6"/>
    </row>
    <row r="395" spans="1:10" x14ac:dyDescent="0.2">
      <c r="A395" s="1" t="s">
        <v>2191</v>
      </c>
      <c r="B395" s="6">
        <v>2.9</v>
      </c>
      <c r="C395" s="6" t="s">
        <v>18</v>
      </c>
      <c r="D395" s="6" t="str">
        <f>"85/119"</f>
        <v>85/119</v>
      </c>
      <c r="E395" s="6">
        <v>0.9</v>
      </c>
      <c r="F395" s="6" t="s">
        <v>2192</v>
      </c>
      <c r="G395" s="6" t="s">
        <v>2193</v>
      </c>
      <c r="H395" t="s">
        <v>51</v>
      </c>
      <c r="I395" s="1" t="s">
        <v>2184</v>
      </c>
      <c r="J395" s="6"/>
    </row>
    <row r="396" spans="1:10" ht="28.5" x14ac:dyDescent="0.2">
      <c r="A396" s="1" t="s">
        <v>2354</v>
      </c>
      <c r="B396" s="6">
        <v>2.9</v>
      </c>
      <c r="C396" s="6" t="s">
        <v>18</v>
      </c>
      <c r="D396" s="6" t="str">
        <f>"76/142"</f>
        <v>76/142</v>
      </c>
      <c r="E396" s="6">
        <v>1</v>
      </c>
      <c r="F396" s="6" t="s">
        <v>2355</v>
      </c>
      <c r="G396" s="6" t="s">
        <v>2356</v>
      </c>
      <c r="H396" t="s">
        <v>27</v>
      </c>
      <c r="I396" s="1" t="s">
        <v>69</v>
      </c>
      <c r="J396" s="6"/>
    </row>
    <row r="397" spans="1:10" x14ac:dyDescent="0.2">
      <c r="A397" s="1" t="s">
        <v>2391</v>
      </c>
      <c r="B397" s="6">
        <v>2.9</v>
      </c>
      <c r="C397" s="6" t="s">
        <v>24</v>
      </c>
      <c r="D397" s="6" t="str">
        <f>"72/160"</f>
        <v>72/160</v>
      </c>
      <c r="E397" s="6">
        <v>0.8</v>
      </c>
      <c r="F397" s="6" t="s">
        <v>2392</v>
      </c>
      <c r="G397" s="6" t="s">
        <v>2392</v>
      </c>
      <c r="H397" t="s">
        <v>292</v>
      </c>
      <c r="I397" s="1" t="s">
        <v>708</v>
      </c>
      <c r="J397" s="6"/>
    </row>
    <row r="398" spans="1:10" ht="28.5" x14ac:dyDescent="0.2">
      <c r="A398" s="1" t="s">
        <v>2438</v>
      </c>
      <c r="B398" s="6">
        <v>2.9</v>
      </c>
      <c r="C398" s="6" t="s">
        <v>24</v>
      </c>
      <c r="D398" s="6" t="str">
        <f>"131/275"</f>
        <v>131/275</v>
      </c>
      <c r="E398" s="6">
        <v>0.8</v>
      </c>
      <c r="F398" s="6" t="s">
        <v>2439</v>
      </c>
      <c r="G398" s="6" t="s">
        <v>2440</v>
      </c>
      <c r="H398" t="s">
        <v>27</v>
      </c>
      <c r="I398" s="1" t="s">
        <v>2441</v>
      </c>
      <c r="J398" s="6"/>
    </row>
    <row r="399" spans="1:10" x14ac:dyDescent="0.2">
      <c r="A399" s="1" t="s">
        <v>2695</v>
      </c>
      <c r="B399" s="6">
        <v>2.9</v>
      </c>
      <c r="C399" s="6" t="s">
        <v>24</v>
      </c>
      <c r="D399" s="6" t="str">
        <f>"62/139"</f>
        <v>62/139</v>
      </c>
      <c r="E399" s="6">
        <v>0.5</v>
      </c>
      <c r="F399" s="6" t="s">
        <v>2696</v>
      </c>
      <c r="G399" s="6" t="s">
        <v>2697</v>
      </c>
      <c r="H399" t="s">
        <v>15</v>
      </c>
      <c r="I399" s="1" t="s">
        <v>44</v>
      </c>
      <c r="J399" s="6"/>
    </row>
    <row r="400" spans="1:10" x14ac:dyDescent="0.2">
      <c r="A400" s="1" t="s">
        <v>2698</v>
      </c>
      <c r="B400" s="6">
        <v>2.9</v>
      </c>
      <c r="C400" s="6" t="s">
        <v>24</v>
      </c>
      <c r="D400" s="6" t="str">
        <f>"35/73"</f>
        <v>35/73</v>
      </c>
      <c r="E400" s="6">
        <v>0.7</v>
      </c>
      <c r="F400" s="6" t="s">
        <v>2699</v>
      </c>
      <c r="G400" s="6" t="s">
        <v>2700</v>
      </c>
      <c r="H400" t="s">
        <v>2701</v>
      </c>
      <c r="I400" s="1" t="s">
        <v>361</v>
      </c>
      <c r="J400" s="6"/>
    </row>
    <row r="401" spans="1:10" x14ac:dyDescent="0.2">
      <c r="A401" s="1" t="s">
        <v>78</v>
      </c>
      <c r="B401" s="6">
        <v>2.8</v>
      </c>
      <c r="C401" s="6" t="s">
        <v>18</v>
      </c>
      <c r="D401" s="6" t="str">
        <f>"21/40"</f>
        <v>21/40</v>
      </c>
      <c r="E401" s="6">
        <v>1</v>
      </c>
      <c r="F401" s="6" t="s">
        <v>79</v>
      </c>
      <c r="G401" s="6" t="s">
        <v>80</v>
      </c>
      <c r="H401" t="s">
        <v>51</v>
      </c>
      <c r="I401" s="1" t="s">
        <v>44</v>
      </c>
      <c r="J401" s="6"/>
    </row>
    <row r="402" spans="1:10" x14ac:dyDescent="0.2">
      <c r="A402" s="1" t="s">
        <v>392</v>
      </c>
      <c r="B402" s="6">
        <v>2.8</v>
      </c>
      <c r="C402" s="6" t="s">
        <v>7</v>
      </c>
      <c r="D402" s="6" t="str">
        <f>"18/125"</f>
        <v>18/125</v>
      </c>
      <c r="E402" s="6">
        <v>0.6</v>
      </c>
      <c r="F402" s="6" t="s">
        <v>393</v>
      </c>
      <c r="G402" s="6" t="s">
        <v>394</v>
      </c>
      <c r="H402" t="s">
        <v>15</v>
      </c>
      <c r="I402" s="1" t="s">
        <v>44</v>
      </c>
      <c r="J402" s="6"/>
    </row>
    <row r="403" spans="1:10" x14ac:dyDescent="0.2">
      <c r="A403" s="1" t="s">
        <v>712</v>
      </c>
      <c r="B403" s="6">
        <v>2.8</v>
      </c>
      <c r="C403" s="6" t="s">
        <v>24</v>
      </c>
      <c r="D403" s="6" t="str">
        <f>"13/34"</f>
        <v>13/34</v>
      </c>
      <c r="E403" s="6">
        <v>0.7</v>
      </c>
      <c r="F403" s="6" t="s">
        <v>713</v>
      </c>
      <c r="G403" s="6" t="s">
        <v>714</v>
      </c>
      <c r="H403" t="s">
        <v>10</v>
      </c>
      <c r="I403" s="1" t="s">
        <v>361</v>
      </c>
      <c r="J403" s="6"/>
    </row>
    <row r="404" spans="1:10" x14ac:dyDescent="0.2">
      <c r="A404" s="1" t="s">
        <v>869</v>
      </c>
      <c r="B404" s="6">
        <v>2.8</v>
      </c>
      <c r="C404" s="6" t="s">
        <v>24</v>
      </c>
      <c r="D404" s="6" t="str">
        <f>"11/31"</f>
        <v>11/31</v>
      </c>
      <c r="E404" s="6">
        <v>0.4</v>
      </c>
      <c r="F404" s="6" t="s">
        <v>870</v>
      </c>
      <c r="G404" s="6" t="s">
        <v>871</v>
      </c>
      <c r="H404" t="s">
        <v>15</v>
      </c>
      <c r="I404" s="1" t="s">
        <v>36</v>
      </c>
      <c r="J404" s="6"/>
    </row>
    <row r="405" spans="1:10" x14ac:dyDescent="0.2">
      <c r="A405" s="1" t="s">
        <v>893</v>
      </c>
      <c r="B405" s="6">
        <v>2.8</v>
      </c>
      <c r="C405" s="6" t="s">
        <v>24</v>
      </c>
      <c r="D405" s="6" t="str">
        <f>"23/63"</f>
        <v>23/63</v>
      </c>
      <c r="E405" s="6">
        <v>0.4</v>
      </c>
      <c r="F405" s="6" t="s">
        <v>894</v>
      </c>
      <c r="G405" s="6" t="s">
        <v>895</v>
      </c>
      <c r="H405" t="s">
        <v>27</v>
      </c>
      <c r="I405" s="1" t="s">
        <v>69</v>
      </c>
      <c r="J405" s="6"/>
    </row>
    <row r="406" spans="1:10" ht="28.5" x14ac:dyDescent="0.2">
      <c r="A406" s="1" t="s">
        <v>1861</v>
      </c>
      <c r="B406" s="6">
        <v>2.8</v>
      </c>
      <c r="C406" s="6" t="s">
        <v>24</v>
      </c>
      <c r="D406" s="6" t="str">
        <f>"26/54"</f>
        <v>26/54</v>
      </c>
      <c r="E406" s="6">
        <v>0.4</v>
      </c>
      <c r="F406" s="6" t="s">
        <v>1862</v>
      </c>
      <c r="G406" s="6" t="s">
        <v>1863</v>
      </c>
      <c r="H406" t="s">
        <v>27</v>
      </c>
      <c r="I406" s="1" t="s">
        <v>512</v>
      </c>
      <c r="J406" s="6"/>
    </row>
    <row r="407" spans="1:10" ht="28.5" x14ac:dyDescent="0.2">
      <c r="A407" s="1" t="s">
        <v>2041</v>
      </c>
      <c r="B407" s="6">
        <v>2.8</v>
      </c>
      <c r="C407" s="6" t="s">
        <v>24</v>
      </c>
      <c r="D407" s="6" t="str">
        <f>"137/275"</f>
        <v>137/275</v>
      </c>
      <c r="E407" s="6">
        <v>0.6</v>
      </c>
      <c r="F407" s="6" t="s">
        <v>2042</v>
      </c>
      <c r="G407" s="6" t="s">
        <v>2043</v>
      </c>
      <c r="H407" t="s">
        <v>27</v>
      </c>
      <c r="I407" s="1" t="s">
        <v>512</v>
      </c>
      <c r="J407" s="6"/>
    </row>
    <row r="408" spans="1:10" x14ac:dyDescent="0.2">
      <c r="A408" s="1" t="s">
        <v>2293</v>
      </c>
      <c r="B408" s="6">
        <v>2.8</v>
      </c>
      <c r="C408" s="6" t="s">
        <v>18</v>
      </c>
      <c r="D408" s="6" t="str">
        <f>"78/142"</f>
        <v>78/142</v>
      </c>
      <c r="E408" s="6">
        <v>0.5</v>
      </c>
      <c r="F408" s="6" t="s">
        <v>2294</v>
      </c>
      <c r="G408" s="6" t="s">
        <v>2295</v>
      </c>
      <c r="H408" t="s">
        <v>27</v>
      </c>
      <c r="I408" s="1" t="s">
        <v>16</v>
      </c>
      <c r="J408" s="6"/>
    </row>
    <row r="409" spans="1:10" x14ac:dyDescent="0.2">
      <c r="A409" s="1" t="s">
        <v>2416</v>
      </c>
      <c r="B409" s="6">
        <v>2.8</v>
      </c>
      <c r="C409" s="6" t="s">
        <v>24</v>
      </c>
      <c r="D409" s="6" t="str">
        <f>"63/139"</f>
        <v>63/139</v>
      </c>
      <c r="E409" s="6">
        <v>0.6</v>
      </c>
      <c r="F409" s="6" t="s">
        <v>2417</v>
      </c>
      <c r="G409" s="6" t="s">
        <v>2418</v>
      </c>
      <c r="H409" t="s">
        <v>51</v>
      </c>
      <c r="I409" s="1" t="s">
        <v>133</v>
      </c>
      <c r="J409" s="6"/>
    </row>
    <row r="410" spans="1:10" x14ac:dyDescent="0.2">
      <c r="A410" s="1" t="s">
        <v>2490</v>
      </c>
      <c r="B410" s="6">
        <v>2.8</v>
      </c>
      <c r="C410" s="6" t="s">
        <v>18</v>
      </c>
      <c r="D410" s="6" t="str">
        <f>"92/145"</f>
        <v>92/145</v>
      </c>
      <c r="E410" s="6">
        <v>0.5</v>
      </c>
      <c r="F410" s="6" t="s">
        <v>2491</v>
      </c>
      <c r="G410" s="6" t="s">
        <v>2492</v>
      </c>
      <c r="H410" t="s">
        <v>27</v>
      </c>
      <c r="I410" s="1" t="s">
        <v>16</v>
      </c>
      <c r="J410" s="6"/>
    </row>
    <row r="411" spans="1:10" x14ac:dyDescent="0.2">
      <c r="A411" s="1" t="s">
        <v>2692</v>
      </c>
      <c r="B411" s="6">
        <v>2.8</v>
      </c>
      <c r="C411" s="6" t="s">
        <v>24</v>
      </c>
      <c r="D411" s="6" t="str">
        <f>"52/137"</f>
        <v>52/137</v>
      </c>
      <c r="E411" s="6">
        <v>0.8</v>
      </c>
      <c r="F411" s="6" t="s">
        <v>2693</v>
      </c>
      <c r="G411" s="6" t="s">
        <v>2694</v>
      </c>
      <c r="H411" t="s">
        <v>10</v>
      </c>
      <c r="I411" s="1" t="s">
        <v>133</v>
      </c>
      <c r="J411" s="6"/>
    </row>
    <row r="412" spans="1:10" x14ac:dyDescent="0.2">
      <c r="A412" s="1" t="s">
        <v>2735</v>
      </c>
      <c r="B412" s="6">
        <v>2.8</v>
      </c>
      <c r="C412" s="6" t="s">
        <v>24</v>
      </c>
      <c r="D412" s="6" t="str">
        <f>"137/275"</f>
        <v>137/275</v>
      </c>
      <c r="E412" s="6">
        <v>1</v>
      </c>
      <c r="F412" s="6" t="s">
        <v>2736</v>
      </c>
      <c r="G412" s="6" t="s">
        <v>2737</v>
      </c>
      <c r="H412" t="s">
        <v>27</v>
      </c>
      <c r="I412" s="1" t="s">
        <v>69</v>
      </c>
      <c r="J412" s="6"/>
    </row>
    <row r="413" spans="1:10" x14ac:dyDescent="0.2">
      <c r="A413" s="1" t="s">
        <v>335</v>
      </c>
      <c r="B413" s="6">
        <v>2.7</v>
      </c>
      <c r="C413" s="6" t="s">
        <v>18</v>
      </c>
      <c r="D413" s="6" t="str">
        <f>"20/30"</f>
        <v>20/30</v>
      </c>
      <c r="E413" s="6">
        <v>0.8</v>
      </c>
      <c r="F413" s="6" t="s">
        <v>336</v>
      </c>
      <c r="G413" s="6" t="s">
        <v>337</v>
      </c>
      <c r="H413" t="s">
        <v>15</v>
      </c>
      <c r="I413" s="1" t="s">
        <v>338</v>
      </c>
      <c r="J413" s="6"/>
    </row>
    <row r="414" spans="1:10" x14ac:dyDescent="0.2">
      <c r="A414" s="1" t="s">
        <v>417</v>
      </c>
      <c r="B414" s="6">
        <v>2.7</v>
      </c>
      <c r="C414" s="6" t="s">
        <v>7</v>
      </c>
      <c r="D414" s="6" t="str">
        <f>"5/34"</f>
        <v>5/34</v>
      </c>
      <c r="E414" s="6">
        <v>0.8</v>
      </c>
      <c r="F414" s="6" t="s">
        <v>418</v>
      </c>
      <c r="G414" s="6" t="s">
        <v>419</v>
      </c>
      <c r="H414" t="s">
        <v>15</v>
      </c>
      <c r="I414" s="1" t="s">
        <v>40</v>
      </c>
      <c r="J414" s="6"/>
    </row>
    <row r="415" spans="1:10" ht="28.5" x14ac:dyDescent="0.2">
      <c r="A415" s="1" t="s">
        <v>494</v>
      </c>
      <c r="B415" s="6">
        <v>2.7</v>
      </c>
      <c r="C415" s="6" t="s">
        <v>24</v>
      </c>
      <c r="D415" s="6" t="str">
        <f>"7/16"</f>
        <v>7/16</v>
      </c>
      <c r="E415" s="6">
        <v>1</v>
      </c>
      <c r="F415" s="6" t="s">
        <v>495</v>
      </c>
      <c r="G415" s="6" t="s">
        <v>496</v>
      </c>
      <c r="H415" t="s">
        <v>15</v>
      </c>
      <c r="I415" s="1" t="s">
        <v>248</v>
      </c>
      <c r="J415" s="6"/>
    </row>
    <row r="416" spans="1:10" x14ac:dyDescent="0.2">
      <c r="A416" s="1" t="s">
        <v>564</v>
      </c>
      <c r="B416" s="6">
        <v>2.7</v>
      </c>
      <c r="C416" s="6" t="s">
        <v>24</v>
      </c>
      <c r="D416" s="6" t="str">
        <f>"35/86"</f>
        <v>35/86</v>
      </c>
      <c r="E416" s="6">
        <v>0.3</v>
      </c>
      <c r="F416" s="6" t="s">
        <v>565</v>
      </c>
      <c r="G416" s="6" t="s">
        <v>566</v>
      </c>
      <c r="H416" t="s">
        <v>10</v>
      </c>
      <c r="I416" s="1" t="s">
        <v>133</v>
      </c>
      <c r="J416" s="6"/>
    </row>
    <row r="417" spans="1:10" x14ac:dyDescent="0.2">
      <c r="A417" s="1" t="s">
        <v>583</v>
      </c>
      <c r="B417" s="6">
        <v>2.7</v>
      </c>
      <c r="C417" s="6" t="s">
        <v>24</v>
      </c>
      <c r="D417" s="6" t="str">
        <f>"48/100"</f>
        <v>48/100</v>
      </c>
      <c r="E417" s="6">
        <v>0.6</v>
      </c>
      <c r="F417" s="6" t="s">
        <v>584</v>
      </c>
      <c r="G417" s="6" t="s">
        <v>585</v>
      </c>
      <c r="H417" t="s">
        <v>27</v>
      </c>
      <c r="I417" s="1" t="s">
        <v>194</v>
      </c>
      <c r="J417" s="6"/>
    </row>
    <row r="418" spans="1:10" x14ac:dyDescent="0.2">
      <c r="A418" s="1" t="s">
        <v>602</v>
      </c>
      <c r="B418" s="6">
        <v>2.7</v>
      </c>
      <c r="C418" s="6" t="s">
        <v>24</v>
      </c>
      <c r="D418" s="6" t="str">
        <f>"35/86"</f>
        <v>35/86</v>
      </c>
      <c r="E418" s="6">
        <v>0.6</v>
      </c>
      <c r="F418" s="6" t="s">
        <v>603</v>
      </c>
      <c r="G418" s="6" t="s">
        <v>60</v>
      </c>
      <c r="H418" t="s">
        <v>27</v>
      </c>
      <c r="I418" s="1" t="s">
        <v>604</v>
      </c>
      <c r="J418" s="6"/>
    </row>
    <row r="419" spans="1:10" x14ac:dyDescent="0.2">
      <c r="A419" s="1" t="s">
        <v>605</v>
      </c>
      <c r="B419" s="6">
        <v>2.7</v>
      </c>
      <c r="C419" s="6" t="s">
        <v>24</v>
      </c>
      <c r="D419" s="6" t="str">
        <f>"35/86"</f>
        <v>35/86</v>
      </c>
      <c r="E419" s="6">
        <v>0.7</v>
      </c>
      <c r="F419" s="6" t="s">
        <v>606</v>
      </c>
      <c r="G419" s="6" t="s">
        <v>607</v>
      </c>
      <c r="H419" t="s">
        <v>10</v>
      </c>
      <c r="I419" s="1" t="s">
        <v>361</v>
      </c>
      <c r="J419" s="6"/>
    </row>
    <row r="420" spans="1:10" x14ac:dyDescent="0.2">
      <c r="A420" s="1" t="s">
        <v>634</v>
      </c>
      <c r="B420" s="6">
        <v>2.7</v>
      </c>
      <c r="C420" s="6" t="s">
        <v>7</v>
      </c>
      <c r="D420" s="6" t="str">
        <f>"5/34"</f>
        <v>5/34</v>
      </c>
      <c r="E420" s="6">
        <v>1.1000000000000001</v>
      </c>
      <c r="F420" s="6" t="s">
        <v>635</v>
      </c>
      <c r="G420" s="6" t="s">
        <v>635</v>
      </c>
      <c r="H420" t="s">
        <v>21</v>
      </c>
      <c r="I420" s="1" t="s">
        <v>636</v>
      </c>
      <c r="J420" s="6"/>
    </row>
    <row r="421" spans="1:10" x14ac:dyDescent="0.2">
      <c r="A421" s="1" t="s">
        <v>674</v>
      </c>
      <c r="B421" s="6">
        <v>2.7</v>
      </c>
      <c r="C421" s="6" t="s">
        <v>24</v>
      </c>
      <c r="D421" s="6" t="str">
        <f>"65/139"</f>
        <v>65/139</v>
      </c>
      <c r="E421" s="6">
        <v>0.6</v>
      </c>
      <c r="F421" s="6" t="s">
        <v>675</v>
      </c>
      <c r="G421" s="6" t="s">
        <v>676</v>
      </c>
      <c r="H421" t="s">
        <v>27</v>
      </c>
      <c r="I421" s="1" t="s">
        <v>677</v>
      </c>
      <c r="J421" s="6"/>
    </row>
    <row r="422" spans="1:10" x14ac:dyDescent="0.2">
      <c r="A422" s="1" t="s">
        <v>764</v>
      </c>
      <c r="B422" s="6">
        <v>2.7</v>
      </c>
      <c r="C422" s="6" t="s">
        <v>24</v>
      </c>
      <c r="D422" s="6" t="str">
        <f>"57/137"</f>
        <v>57/137</v>
      </c>
      <c r="E422" s="6">
        <v>0.6</v>
      </c>
      <c r="F422" s="6" t="s">
        <v>765</v>
      </c>
      <c r="G422" s="6" t="s">
        <v>766</v>
      </c>
      <c r="H422" t="s">
        <v>767</v>
      </c>
      <c r="I422" s="1" t="s">
        <v>133</v>
      </c>
      <c r="J422" s="6"/>
    </row>
    <row r="423" spans="1:10" x14ac:dyDescent="0.2">
      <c r="A423" s="1" t="s">
        <v>802</v>
      </c>
      <c r="B423" s="6">
        <v>2.7</v>
      </c>
      <c r="C423" s="6" t="s">
        <v>24</v>
      </c>
      <c r="D423" s="6" t="str">
        <f>"59/136"</f>
        <v>59/136</v>
      </c>
      <c r="E423" s="6">
        <v>0.4</v>
      </c>
      <c r="F423" s="6" t="s">
        <v>803</v>
      </c>
      <c r="G423" s="6" t="s">
        <v>804</v>
      </c>
      <c r="H423" t="s">
        <v>27</v>
      </c>
      <c r="I423" s="1" t="s">
        <v>69</v>
      </c>
      <c r="J423" s="6"/>
    </row>
    <row r="424" spans="1:10" x14ac:dyDescent="0.2">
      <c r="A424" s="1" t="s">
        <v>866</v>
      </c>
      <c r="B424" s="6">
        <v>2.7</v>
      </c>
      <c r="C424" s="6" t="s">
        <v>24</v>
      </c>
      <c r="D424" s="6" t="str">
        <f>"57/137"</f>
        <v>57/137</v>
      </c>
      <c r="E424" s="6">
        <v>0.4</v>
      </c>
      <c r="F424" s="6" t="s">
        <v>867</v>
      </c>
      <c r="G424" s="6" t="s">
        <v>868</v>
      </c>
      <c r="H424" t="s">
        <v>10</v>
      </c>
      <c r="I424" s="1" t="s">
        <v>361</v>
      </c>
      <c r="J424" s="6"/>
    </row>
    <row r="425" spans="1:10" x14ac:dyDescent="0.2">
      <c r="A425" s="1" t="s">
        <v>950</v>
      </c>
      <c r="B425" s="6">
        <v>2.7</v>
      </c>
      <c r="C425" s="6" t="s">
        <v>18</v>
      </c>
      <c r="D425" s="6" t="str">
        <f>"170/275"</f>
        <v>170/275</v>
      </c>
      <c r="E425" s="6">
        <v>0.6</v>
      </c>
      <c r="F425" s="6" t="s">
        <v>951</v>
      </c>
      <c r="G425" s="6" t="s">
        <v>952</v>
      </c>
      <c r="H425" t="s">
        <v>27</v>
      </c>
      <c r="I425" s="1" t="s">
        <v>69</v>
      </c>
      <c r="J425" s="6"/>
    </row>
    <row r="426" spans="1:10" ht="28.5" x14ac:dyDescent="0.2">
      <c r="A426" s="1" t="s">
        <v>1082</v>
      </c>
      <c r="B426" s="6">
        <v>2.7</v>
      </c>
      <c r="C426" s="6" t="s">
        <v>24</v>
      </c>
      <c r="D426" s="6" t="str">
        <f>"29/63"</f>
        <v>29/63</v>
      </c>
      <c r="E426" s="6">
        <v>0.8</v>
      </c>
      <c r="F426" s="6" t="s">
        <v>1083</v>
      </c>
      <c r="G426" s="6" t="s">
        <v>1084</v>
      </c>
      <c r="H426" t="s">
        <v>27</v>
      </c>
      <c r="I426" s="1" t="s">
        <v>512</v>
      </c>
      <c r="J426" s="6"/>
    </row>
    <row r="427" spans="1:10" x14ac:dyDescent="0.2">
      <c r="A427" s="1" t="s">
        <v>1244</v>
      </c>
      <c r="B427" s="6">
        <v>2.7</v>
      </c>
      <c r="C427" s="6" t="s">
        <v>24</v>
      </c>
      <c r="D427" s="6" t="str">
        <f>"42/90"</f>
        <v>42/90</v>
      </c>
      <c r="E427" s="6">
        <v>1.2</v>
      </c>
      <c r="F427" s="6" t="s">
        <v>1245</v>
      </c>
      <c r="G427" s="6" t="s">
        <v>1246</v>
      </c>
      <c r="H427" t="s">
        <v>15</v>
      </c>
      <c r="I427" s="1" t="s">
        <v>44</v>
      </c>
      <c r="J427" s="6"/>
    </row>
    <row r="428" spans="1:10" x14ac:dyDescent="0.2">
      <c r="A428" s="1" t="s">
        <v>1813</v>
      </c>
      <c r="B428" s="6">
        <v>2.7</v>
      </c>
      <c r="C428" s="6" t="s">
        <v>18</v>
      </c>
      <c r="D428" s="6" t="str">
        <f>"141/275"</f>
        <v>141/275</v>
      </c>
      <c r="E428" s="6">
        <v>0.3</v>
      </c>
      <c r="F428" s="6" t="s">
        <v>1814</v>
      </c>
      <c r="G428" s="6" t="s">
        <v>1815</v>
      </c>
      <c r="H428" t="s">
        <v>15</v>
      </c>
      <c r="I428" s="1" t="s">
        <v>16</v>
      </c>
      <c r="J428" s="6"/>
    </row>
    <row r="429" spans="1:10" ht="28.5" x14ac:dyDescent="0.2">
      <c r="A429" s="1" t="s">
        <v>1889</v>
      </c>
      <c r="B429" s="6">
        <v>2.7</v>
      </c>
      <c r="C429" s="6" t="s">
        <v>24</v>
      </c>
      <c r="D429" s="6" t="str">
        <f>"78/160"</f>
        <v>78/160</v>
      </c>
      <c r="E429" s="6">
        <v>0.7</v>
      </c>
      <c r="F429" s="6" t="s">
        <v>1890</v>
      </c>
      <c r="G429" s="6" t="s">
        <v>1891</v>
      </c>
      <c r="H429" t="s">
        <v>27</v>
      </c>
      <c r="I429" s="1" t="s">
        <v>512</v>
      </c>
      <c r="J429" s="6"/>
    </row>
    <row r="430" spans="1:10" x14ac:dyDescent="0.2">
      <c r="A430" s="1" t="s">
        <v>2216</v>
      </c>
      <c r="B430" s="6">
        <v>2.7</v>
      </c>
      <c r="C430" s="6" t="s">
        <v>24</v>
      </c>
      <c r="D430" s="6" t="str">
        <f>"35/86"</f>
        <v>35/86</v>
      </c>
      <c r="E430" s="6">
        <v>0.6</v>
      </c>
      <c r="F430" s="6" t="s">
        <v>2217</v>
      </c>
      <c r="G430" s="6" t="s">
        <v>2218</v>
      </c>
      <c r="H430" t="s">
        <v>27</v>
      </c>
      <c r="I430" s="1" t="s">
        <v>133</v>
      </c>
      <c r="J430" s="6"/>
    </row>
    <row r="431" spans="1:10" x14ac:dyDescent="0.2">
      <c r="A431" s="1" t="s">
        <v>2313</v>
      </c>
      <c r="B431" s="6">
        <v>2.7</v>
      </c>
      <c r="C431" s="6" t="s">
        <v>24</v>
      </c>
      <c r="D431" s="6" t="str">
        <f>"35/86"</f>
        <v>35/86</v>
      </c>
      <c r="E431" s="6">
        <v>0.4</v>
      </c>
      <c r="F431" s="6" t="s">
        <v>2314</v>
      </c>
      <c r="G431" s="6" t="s">
        <v>2315</v>
      </c>
      <c r="H431" t="s">
        <v>15</v>
      </c>
      <c r="I431" s="1" t="s">
        <v>44</v>
      </c>
      <c r="J431" s="6"/>
    </row>
    <row r="432" spans="1:10" x14ac:dyDescent="0.2">
      <c r="A432" s="1" t="s">
        <v>2364</v>
      </c>
      <c r="B432" s="6">
        <v>2.7</v>
      </c>
      <c r="C432" s="6" t="s">
        <v>18</v>
      </c>
      <c r="D432" s="6" t="str">
        <f>"89/119"</f>
        <v>89/119</v>
      </c>
      <c r="E432" s="6">
        <v>0.5</v>
      </c>
      <c r="F432" s="6" t="s">
        <v>2365</v>
      </c>
      <c r="G432" s="6" t="s">
        <v>2366</v>
      </c>
      <c r="H432" t="s">
        <v>27</v>
      </c>
      <c r="I432" s="1" t="s">
        <v>87</v>
      </c>
      <c r="J432" s="6"/>
    </row>
    <row r="433" spans="1:10" x14ac:dyDescent="0.2">
      <c r="A433" s="1" t="s">
        <v>2705</v>
      </c>
      <c r="B433" s="6">
        <v>2.7</v>
      </c>
      <c r="C433" s="6" t="s">
        <v>24</v>
      </c>
      <c r="D433" s="6" t="str">
        <f>"42/90"</f>
        <v>42/90</v>
      </c>
      <c r="E433" s="6">
        <v>0.8</v>
      </c>
      <c r="F433" s="6" t="s">
        <v>2706</v>
      </c>
      <c r="G433" s="6" t="s">
        <v>2706</v>
      </c>
      <c r="H433" t="s">
        <v>292</v>
      </c>
      <c r="I433" s="1" t="s">
        <v>708</v>
      </c>
      <c r="J433" s="6"/>
    </row>
    <row r="434" spans="1:10" x14ac:dyDescent="0.2">
      <c r="A434" s="1" t="s">
        <v>2842</v>
      </c>
      <c r="B434" s="6">
        <v>2.7</v>
      </c>
      <c r="C434" s="6" t="s">
        <v>24</v>
      </c>
      <c r="D434" s="6" t="str">
        <f>"57/137"</f>
        <v>57/137</v>
      </c>
      <c r="E434" s="6">
        <v>0.6</v>
      </c>
      <c r="F434" s="6" t="s">
        <v>2843</v>
      </c>
      <c r="G434" s="6" t="s">
        <v>2844</v>
      </c>
      <c r="H434" t="s">
        <v>1457</v>
      </c>
      <c r="I434" s="1" t="s">
        <v>2845</v>
      </c>
      <c r="J434" s="6"/>
    </row>
    <row r="435" spans="1:10" ht="28.5" x14ac:dyDescent="0.2">
      <c r="A435" s="1" t="s">
        <v>29</v>
      </c>
      <c r="B435" s="6">
        <v>2.6</v>
      </c>
      <c r="C435" s="6" t="s">
        <v>24</v>
      </c>
      <c r="D435" s="6" t="str">
        <f>"68/139"</f>
        <v>68/139</v>
      </c>
      <c r="E435" s="6">
        <v>0.9</v>
      </c>
      <c r="F435" s="6" t="s">
        <v>30</v>
      </c>
      <c r="G435" s="6" t="s">
        <v>31</v>
      </c>
      <c r="H435" t="s">
        <v>27</v>
      </c>
      <c r="I435" s="1" t="s">
        <v>32</v>
      </c>
      <c r="J435" s="6"/>
    </row>
    <row r="436" spans="1:10" x14ac:dyDescent="0.2">
      <c r="A436" s="1" t="s">
        <v>171</v>
      </c>
      <c r="B436" s="6">
        <v>2.6</v>
      </c>
      <c r="C436" s="6" t="s">
        <v>24</v>
      </c>
      <c r="D436" s="6" t="str">
        <f>"41/86"</f>
        <v>41/86</v>
      </c>
      <c r="E436" s="6">
        <v>0.4</v>
      </c>
      <c r="F436" s="6" t="s">
        <v>172</v>
      </c>
      <c r="G436" s="6" t="s">
        <v>173</v>
      </c>
      <c r="H436" t="s">
        <v>102</v>
      </c>
      <c r="I436" s="1" t="s">
        <v>103</v>
      </c>
      <c r="J436" s="6"/>
    </row>
    <row r="437" spans="1:10" ht="28.5" x14ac:dyDescent="0.2">
      <c r="A437" s="1" t="s">
        <v>476</v>
      </c>
      <c r="B437" s="6">
        <v>2.6</v>
      </c>
      <c r="C437" s="6" t="s">
        <v>24</v>
      </c>
      <c r="D437" s="6" t="str">
        <f>"62/136"</f>
        <v>62/136</v>
      </c>
      <c r="E437" s="6">
        <v>0.4</v>
      </c>
      <c r="F437" s="6" t="s">
        <v>477</v>
      </c>
      <c r="G437" s="6" t="s">
        <v>478</v>
      </c>
      <c r="H437" t="s">
        <v>15</v>
      </c>
      <c r="I437" s="1" t="s">
        <v>36</v>
      </c>
      <c r="J437" s="6"/>
    </row>
    <row r="438" spans="1:10" x14ac:dyDescent="0.2">
      <c r="A438" s="1" t="s">
        <v>519</v>
      </c>
      <c r="B438" s="6">
        <v>2.6</v>
      </c>
      <c r="C438" s="6" t="s">
        <v>7</v>
      </c>
      <c r="D438" s="6" t="str">
        <f>"20/125"</f>
        <v>20/125</v>
      </c>
      <c r="E438" s="6">
        <v>0.7</v>
      </c>
      <c r="F438" s="6" t="s">
        <v>520</v>
      </c>
      <c r="G438" s="6" t="s">
        <v>521</v>
      </c>
      <c r="H438" t="s">
        <v>15</v>
      </c>
      <c r="I438" s="1" t="s">
        <v>77</v>
      </c>
      <c r="J438" s="6"/>
    </row>
    <row r="439" spans="1:10" x14ac:dyDescent="0.2">
      <c r="A439" s="1" t="s">
        <v>558</v>
      </c>
      <c r="B439" s="6">
        <v>2.6</v>
      </c>
      <c r="C439" s="6" t="s">
        <v>18</v>
      </c>
      <c r="D439" s="6" t="str">
        <f>"89/142"</f>
        <v>89/142</v>
      </c>
      <c r="E439" s="6">
        <v>0.5</v>
      </c>
      <c r="F439" s="6" t="s">
        <v>559</v>
      </c>
      <c r="G439" s="6" t="s">
        <v>560</v>
      </c>
      <c r="H439" t="s">
        <v>15</v>
      </c>
      <c r="I439" s="1" t="s">
        <v>16</v>
      </c>
      <c r="J439" s="6"/>
    </row>
    <row r="440" spans="1:10" x14ac:dyDescent="0.2">
      <c r="A440" s="1" t="s">
        <v>629</v>
      </c>
      <c r="B440" s="6">
        <v>2.6</v>
      </c>
      <c r="C440" s="6" t="s">
        <v>7</v>
      </c>
      <c r="D440" s="6" t="str">
        <f>"7/34"</f>
        <v>7/34</v>
      </c>
      <c r="E440" s="6">
        <v>0.3</v>
      </c>
      <c r="F440" s="6" t="s">
        <v>60</v>
      </c>
      <c r="G440" s="6" t="s">
        <v>630</v>
      </c>
      <c r="H440" t="s">
        <v>102</v>
      </c>
      <c r="I440" s="1" t="s">
        <v>103</v>
      </c>
      <c r="J440" s="6"/>
    </row>
    <row r="441" spans="1:10" x14ac:dyDescent="0.2">
      <c r="A441" s="1" t="s">
        <v>783</v>
      </c>
      <c r="B441" s="6">
        <v>2.6</v>
      </c>
      <c r="C441" s="6" t="s">
        <v>24</v>
      </c>
      <c r="D441" s="6" t="str">
        <f>"30/107"</f>
        <v>30/107</v>
      </c>
      <c r="E441" s="6">
        <v>0.7</v>
      </c>
      <c r="F441" s="6" t="s">
        <v>784</v>
      </c>
      <c r="G441" s="6" t="s">
        <v>785</v>
      </c>
      <c r="H441" t="s">
        <v>15</v>
      </c>
      <c r="I441" s="1" t="s">
        <v>36</v>
      </c>
      <c r="J441" s="6"/>
    </row>
    <row r="442" spans="1:10" x14ac:dyDescent="0.2">
      <c r="A442" s="1" t="s">
        <v>805</v>
      </c>
      <c r="B442" s="6">
        <v>2.6</v>
      </c>
      <c r="C442" s="6" t="s">
        <v>24</v>
      </c>
      <c r="D442" s="6" t="str">
        <f>"62/136"</f>
        <v>62/136</v>
      </c>
      <c r="E442" s="6">
        <v>0.8</v>
      </c>
      <c r="F442" s="6" t="s">
        <v>60</v>
      </c>
      <c r="G442" s="6" t="s">
        <v>806</v>
      </c>
      <c r="H442" t="s">
        <v>292</v>
      </c>
      <c r="I442" s="1" t="s">
        <v>708</v>
      </c>
      <c r="J442" s="6"/>
    </row>
    <row r="443" spans="1:10" ht="28.5" x14ac:dyDescent="0.2">
      <c r="A443" s="1" t="s">
        <v>1088</v>
      </c>
      <c r="B443" s="6">
        <v>2.6</v>
      </c>
      <c r="C443" s="6" t="s">
        <v>24</v>
      </c>
      <c r="D443" s="6" t="str">
        <f>"62/136"</f>
        <v>62/136</v>
      </c>
      <c r="E443" s="6">
        <v>1.1000000000000001</v>
      </c>
      <c r="F443" s="6" t="s">
        <v>1089</v>
      </c>
      <c r="G443" s="6" t="s">
        <v>1090</v>
      </c>
      <c r="H443" t="s">
        <v>27</v>
      </c>
      <c r="I443" s="1" t="s">
        <v>763</v>
      </c>
      <c r="J443" s="6"/>
    </row>
    <row r="444" spans="1:10" x14ac:dyDescent="0.2">
      <c r="A444" s="1" t="s">
        <v>1111</v>
      </c>
      <c r="B444" s="6">
        <v>2.6</v>
      </c>
      <c r="C444" s="6" t="s">
        <v>24</v>
      </c>
      <c r="D444" s="6" t="str">
        <f>"5/16"</f>
        <v>5/16</v>
      </c>
      <c r="E444" s="6">
        <v>0.5</v>
      </c>
      <c r="F444" s="6" t="s">
        <v>1112</v>
      </c>
      <c r="G444" s="6" t="s">
        <v>1113</v>
      </c>
      <c r="H444" t="s">
        <v>111</v>
      </c>
      <c r="I444" s="1" t="s">
        <v>1114</v>
      </c>
      <c r="J444" s="6"/>
    </row>
    <row r="445" spans="1:10" x14ac:dyDescent="0.2">
      <c r="A445" s="1" t="s">
        <v>1115</v>
      </c>
      <c r="B445" s="6">
        <v>2.6</v>
      </c>
      <c r="C445" s="6" t="s">
        <v>24</v>
      </c>
      <c r="D445" s="6" t="str">
        <f>"5/16"</f>
        <v>5/16</v>
      </c>
      <c r="E445" s="6">
        <v>1.8</v>
      </c>
      <c r="F445" s="6" t="s">
        <v>1116</v>
      </c>
      <c r="G445" s="6" t="s">
        <v>1117</v>
      </c>
      <c r="H445" t="s">
        <v>15</v>
      </c>
      <c r="I445" s="1" t="s">
        <v>44</v>
      </c>
      <c r="J445" s="6"/>
    </row>
    <row r="446" spans="1:10" x14ac:dyDescent="0.2">
      <c r="A446" s="1" t="s">
        <v>1142</v>
      </c>
      <c r="B446" s="6">
        <v>2.6</v>
      </c>
      <c r="C446" s="6" t="s">
        <v>24</v>
      </c>
      <c r="D446" s="6" t="str">
        <f>"6/14"</f>
        <v>6/14</v>
      </c>
      <c r="E446" s="6">
        <v>0.5</v>
      </c>
      <c r="F446" s="6" t="s">
        <v>1143</v>
      </c>
      <c r="G446" s="6" t="s">
        <v>1144</v>
      </c>
      <c r="H446" t="s">
        <v>27</v>
      </c>
      <c r="I446" s="1" t="s">
        <v>677</v>
      </c>
      <c r="J446" s="6"/>
    </row>
    <row r="447" spans="1:10" ht="28.5" x14ac:dyDescent="0.2">
      <c r="A447" s="1" t="s">
        <v>1189</v>
      </c>
      <c r="B447" s="6">
        <v>2.6</v>
      </c>
      <c r="C447" s="6" t="s">
        <v>7</v>
      </c>
      <c r="D447" s="6" t="str">
        <f>"8/34"</f>
        <v>8/34</v>
      </c>
      <c r="E447" s="6">
        <v>0.3</v>
      </c>
      <c r="F447" s="6" t="s">
        <v>1190</v>
      </c>
      <c r="G447" s="6" t="s">
        <v>1191</v>
      </c>
      <c r="H447" t="s">
        <v>27</v>
      </c>
      <c r="I447" s="1" t="s">
        <v>892</v>
      </c>
      <c r="J447" s="6"/>
    </row>
    <row r="448" spans="1:10" x14ac:dyDescent="0.2">
      <c r="A448" s="1" t="s">
        <v>1295</v>
      </c>
      <c r="B448" s="6">
        <v>2.6</v>
      </c>
      <c r="C448" s="6" t="s">
        <v>24</v>
      </c>
      <c r="D448" s="6" t="str">
        <f>"68/139"</f>
        <v>68/139</v>
      </c>
      <c r="E448" s="6">
        <v>1.2</v>
      </c>
      <c r="F448" s="6" t="s">
        <v>1296</v>
      </c>
      <c r="G448" s="6" t="s">
        <v>1297</v>
      </c>
      <c r="H448" t="s">
        <v>15</v>
      </c>
      <c r="I448" s="1" t="s">
        <v>44</v>
      </c>
      <c r="J448" s="6"/>
    </row>
    <row r="449" spans="1:10" x14ac:dyDescent="0.2">
      <c r="A449" s="1" t="s">
        <v>1367</v>
      </c>
      <c r="B449" s="6">
        <v>2.6</v>
      </c>
      <c r="C449" s="6" t="s">
        <v>24</v>
      </c>
      <c r="D449" s="6" t="str">
        <f>"60/137"</f>
        <v>60/137</v>
      </c>
      <c r="E449" s="6">
        <v>0.9</v>
      </c>
      <c r="F449" s="6" t="s">
        <v>1368</v>
      </c>
      <c r="G449" s="6" t="s">
        <v>1369</v>
      </c>
      <c r="H449" t="s">
        <v>27</v>
      </c>
      <c r="I449" s="1" t="s">
        <v>763</v>
      </c>
      <c r="J449" s="6"/>
    </row>
    <row r="450" spans="1:10" x14ac:dyDescent="0.2">
      <c r="A450" s="1" t="s">
        <v>1586</v>
      </c>
      <c r="B450" s="6">
        <v>2.6</v>
      </c>
      <c r="C450" s="6" t="s">
        <v>24</v>
      </c>
      <c r="D450" s="6" t="str">
        <f>"24/63"</f>
        <v>24/63</v>
      </c>
      <c r="E450" s="6">
        <v>0.9</v>
      </c>
      <c r="F450" s="6" t="s">
        <v>1587</v>
      </c>
      <c r="G450" s="6" t="s">
        <v>1588</v>
      </c>
      <c r="H450" t="s">
        <v>27</v>
      </c>
      <c r="I450" s="1" t="s">
        <v>194</v>
      </c>
      <c r="J450" s="6"/>
    </row>
    <row r="451" spans="1:10" x14ac:dyDescent="0.2">
      <c r="A451" s="1" t="s">
        <v>1749</v>
      </c>
      <c r="B451" s="6">
        <v>2.6</v>
      </c>
      <c r="C451" s="6" t="s">
        <v>24</v>
      </c>
      <c r="D451" s="6" t="str">
        <f>"68/139"</f>
        <v>68/139</v>
      </c>
      <c r="E451" s="6">
        <v>0.4</v>
      </c>
      <c r="F451" s="6" t="s">
        <v>1750</v>
      </c>
      <c r="G451" s="6" t="s">
        <v>60</v>
      </c>
      <c r="H451" t="s">
        <v>767</v>
      </c>
      <c r="I451" s="1" t="s">
        <v>1751</v>
      </c>
      <c r="J451" s="6"/>
    </row>
    <row r="452" spans="1:10" x14ac:dyDescent="0.2">
      <c r="A452" s="1" t="s">
        <v>1785</v>
      </c>
      <c r="B452" s="6">
        <v>2.6</v>
      </c>
      <c r="C452" s="6" t="s">
        <v>24</v>
      </c>
      <c r="D452" s="6" t="str">
        <f>"41/86"</f>
        <v>41/86</v>
      </c>
      <c r="E452" s="6">
        <v>0.4</v>
      </c>
      <c r="F452" s="6" t="s">
        <v>1786</v>
      </c>
      <c r="G452" s="6" t="s">
        <v>1787</v>
      </c>
      <c r="H452" t="s">
        <v>27</v>
      </c>
      <c r="I452" s="1" t="s">
        <v>69</v>
      </c>
      <c r="J452" s="6"/>
    </row>
    <row r="453" spans="1:10" ht="28.5" x14ac:dyDescent="0.2">
      <c r="A453" s="1" t="s">
        <v>1800</v>
      </c>
      <c r="B453" s="6">
        <v>2.6</v>
      </c>
      <c r="C453" s="6" t="s">
        <v>18</v>
      </c>
      <c r="D453" s="6" t="str">
        <f>"145/275"</f>
        <v>145/275</v>
      </c>
      <c r="E453" s="6">
        <v>0.7</v>
      </c>
      <c r="F453" s="6" t="s">
        <v>1801</v>
      </c>
      <c r="G453" s="6" t="s">
        <v>1802</v>
      </c>
      <c r="H453" t="s">
        <v>15</v>
      </c>
      <c r="I453" s="1" t="s">
        <v>1803</v>
      </c>
      <c r="J453" s="6"/>
    </row>
    <row r="454" spans="1:10" x14ac:dyDescent="0.2">
      <c r="A454" s="1" t="s">
        <v>1828</v>
      </c>
      <c r="B454" s="6">
        <v>2.6</v>
      </c>
      <c r="C454" s="6" t="s">
        <v>24</v>
      </c>
      <c r="D454" s="6" t="str">
        <f>"31/63"</f>
        <v>31/63</v>
      </c>
      <c r="E454" s="6">
        <v>0.3</v>
      </c>
      <c r="F454" s="6" t="s">
        <v>1829</v>
      </c>
      <c r="G454" s="6" t="s">
        <v>1830</v>
      </c>
      <c r="H454" t="s">
        <v>15</v>
      </c>
      <c r="I454" s="1" t="s">
        <v>16</v>
      </c>
      <c r="J454" s="6"/>
    </row>
    <row r="455" spans="1:10" ht="28.5" x14ac:dyDescent="0.2">
      <c r="A455" s="1" t="s">
        <v>1964</v>
      </c>
      <c r="B455" s="6">
        <v>2.6</v>
      </c>
      <c r="C455" s="6" t="s">
        <v>18</v>
      </c>
      <c r="D455" s="6" t="str">
        <f>"22/43"</f>
        <v>22/43</v>
      </c>
      <c r="E455" s="6">
        <v>0.8</v>
      </c>
      <c r="F455" s="6" t="s">
        <v>1965</v>
      </c>
      <c r="G455" s="6" t="s">
        <v>1966</v>
      </c>
      <c r="H455" t="s">
        <v>27</v>
      </c>
      <c r="I455" s="1" t="s">
        <v>512</v>
      </c>
      <c r="J455" s="6"/>
    </row>
    <row r="456" spans="1:10" x14ac:dyDescent="0.2">
      <c r="A456" s="1" t="s">
        <v>2255</v>
      </c>
      <c r="B456" s="6">
        <v>2.6</v>
      </c>
      <c r="C456" s="6" t="s">
        <v>24</v>
      </c>
      <c r="D456" s="6" t="str">
        <f>"15/34"</f>
        <v>15/34</v>
      </c>
      <c r="E456" s="6">
        <v>1.6</v>
      </c>
      <c r="F456" s="6" t="s">
        <v>2256</v>
      </c>
      <c r="G456" s="6" t="s">
        <v>2257</v>
      </c>
      <c r="H456" t="s">
        <v>102</v>
      </c>
      <c r="I456" s="1" t="s">
        <v>103</v>
      </c>
      <c r="J456" s="6"/>
    </row>
    <row r="457" spans="1:10" x14ac:dyDescent="0.2">
      <c r="A457" s="1" t="s">
        <v>2475</v>
      </c>
      <c r="B457" s="6">
        <v>2.6</v>
      </c>
      <c r="C457" s="6" t="s">
        <v>24</v>
      </c>
      <c r="D457" s="6" t="str">
        <f>"24/63"</f>
        <v>24/63</v>
      </c>
      <c r="E457" s="6">
        <v>0.8</v>
      </c>
      <c r="F457" s="6" t="s">
        <v>2476</v>
      </c>
      <c r="G457" s="6" t="s">
        <v>2477</v>
      </c>
      <c r="H457" t="s">
        <v>27</v>
      </c>
      <c r="I457" s="1" t="s">
        <v>133</v>
      </c>
      <c r="J457" s="6"/>
    </row>
    <row r="458" spans="1:10" x14ac:dyDescent="0.2">
      <c r="A458" s="1" t="s">
        <v>2789</v>
      </c>
      <c r="B458" s="6">
        <v>2.6</v>
      </c>
      <c r="C458" s="6" t="s">
        <v>7</v>
      </c>
      <c r="D458" s="6" t="str">
        <f>"8/34"</f>
        <v>8/34</v>
      </c>
      <c r="E458" s="6">
        <v>0.8</v>
      </c>
      <c r="F458" s="6" t="s">
        <v>60</v>
      </c>
      <c r="G458" s="6" t="s">
        <v>2790</v>
      </c>
      <c r="H458" t="s">
        <v>292</v>
      </c>
      <c r="I458" s="1" t="s">
        <v>708</v>
      </c>
      <c r="J458" s="6"/>
    </row>
    <row r="459" spans="1:10" x14ac:dyDescent="0.2">
      <c r="A459" s="1" t="s">
        <v>2797</v>
      </c>
      <c r="B459" s="6">
        <v>2.6</v>
      </c>
      <c r="C459" s="6" t="s">
        <v>24</v>
      </c>
      <c r="D459" s="6" t="str">
        <f>"68/139"</f>
        <v>68/139</v>
      </c>
      <c r="E459" s="6">
        <v>0.4</v>
      </c>
      <c r="F459" s="6" t="s">
        <v>2798</v>
      </c>
      <c r="G459" s="6" t="s">
        <v>2799</v>
      </c>
      <c r="H459" t="s">
        <v>27</v>
      </c>
      <c r="I459" s="1" t="s">
        <v>87</v>
      </c>
      <c r="J459" s="6"/>
    </row>
    <row r="460" spans="1:10" x14ac:dyDescent="0.2">
      <c r="A460" s="1" t="s">
        <v>2831</v>
      </c>
      <c r="B460" s="6">
        <v>2.6</v>
      </c>
      <c r="C460" s="6" t="s">
        <v>24</v>
      </c>
      <c r="D460" s="6" t="str">
        <f>"62/136"</f>
        <v>62/136</v>
      </c>
      <c r="E460" s="6">
        <v>0.7</v>
      </c>
      <c r="F460" s="6" t="s">
        <v>60</v>
      </c>
      <c r="G460" s="6" t="s">
        <v>2832</v>
      </c>
      <c r="H460" t="s">
        <v>292</v>
      </c>
      <c r="I460" s="1" t="s">
        <v>708</v>
      </c>
      <c r="J460" s="6"/>
    </row>
    <row r="461" spans="1:10" x14ac:dyDescent="0.2">
      <c r="A461" s="1" t="s">
        <v>597</v>
      </c>
      <c r="B461" s="6">
        <v>2.5</v>
      </c>
      <c r="C461" s="6" t="s">
        <v>24</v>
      </c>
      <c r="D461" s="6" t="str">
        <f>"43/86"</f>
        <v>43/86</v>
      </c>
      <c r="E461" s="6">
        <v>1.4</v>
      </c>
      <c r="F461" s="6" t="s">
        <v>60</v>
      </c>
      <c r="G461" s="6" t="s">
        <v>598</v>
      </c>
      <c r="H461" t="s">
        <v>102</v>
      </c>
      <c r="I461" s="1" t="s">
        <v>103</v>
      </c>
      <c r="J461" s="6"/>
    </row>
    <row r="462" spans="1:10" x14ac:dyDescent="0.2">
      <c r="A462" s="1" t="s">
        <v>818</v>
      </c>
      <c r="B462" s="6">
        <v>2.5</v>
      </c>
      <c r="C462" s="6" t="s">
        <v>18</v>
      </c>
      <c r="D462" s="6" t="str">
        <f>"52/100"</f>
        <v>52/100</v>
      </c>
      <c r="E462" s="6">
        <v>0.3</v>
      </c>
      <c r="F462" s="6" t="s">
        <v>819</v>
      </c>
      <c r="G462" s="6" t="s">
        <v>820</v>
      </c>
      <c r="H462" t="s">
        <v>15</v>
      </c>
      <c r="I462" s="1" t="s">
        <v>36</v>
      </c>
      <c r="J462" s="6"/>
    </row>
    <row r="463" spans="1:10" x14ac:dyDescent="0.2">
      <c r="A463" s="1" t="s">
        <v>840</v>
      </c>
      <c r="B463" s="6">
        <v>2.5</v>
      </c>
      <c r="C463" s="6" t="s">
        <v>18</v>
      </c>
      <c r="D463" s="6" t="str">
        <f>"16/24"</f>
        <v>16/24</v>
      </c>
      <c r="E463" s="6">
        <v>0.6</v>
      </c>
      <c r="F463" s="6" t="s">
        <v>841</v>
      </c>
      <c r="G463" s="6" t="s">
        <v>842</v>
      </c>
      <c r="H463" t="s">
        <v>15</v>
      </c>
      <c r="I463" s="1" t="s">
        <v>248</v>
      </c>
      <c r="J463" s="6"/>
    </row>
    <row r="464" spans="1:10" x14ac:dyDescent="0.2">
      <c r="A464" s="1" t="s">
        <v>875</v>
      </c>
      <c r="B464" s="6">
        <v>2.5</v>
      </c>
      <c r="C464" s="6" t="s">
        <v>18</v>
      </c>
      <c r="D464" s="6" t="str">
        <f>"75/139"</f>
        <v>75/139</v>
      </c>
      <c r="E464" s="6">
        <v>0.6</v>
      </c>
      <c r="F464" s="6" t="s">
        <v>876</v>
      </c>
      <c r="G464" s="6" t="s">
        <v>877</v>
      </c>
      <c r="H464" t="s">
        <v>27</v>
      </c>
      <c r="I464" s="1" t="s">
        <v>677</v>
      </c>
      <c r="J464" s="6"/>
    </row>
    <row r="465" spans="1:10" x14ac:dyDescent="0.2">
      <c r="A465" s="1" t="s">
        <v>881</v>
      </c>
      <c r="B465" s="6">
        <v>2.5</v>
      </c>
      <c r="C465" s="6" t="s">
        <v>24</v>
      </c>
      <c r="D465" s="6" t="str">
        <f>"68/136"</f>
        <v>68/136</v>
      </c>
      <c r="E465" s="6">
        <v>1</v>
      </c>
      <c r="F465" s="6" t="s">
        <v>882</v>
      </c>
      <c r="G465" s="6" t="s">
        <v>883</v>
      </c>
      <c r="H465" t="s">
        <v>27</v>
      </c>
      <c r="I465" s="1" t="s">
        <v>763</v>
      </c>
      <c r="J465" s="6"/>
    </row>
    <row r="466" spans="1:10" x14ac:dyDescent="0.2">
      <c r="A466" s="1" t="s">
        <v>902</v>
      </c>
      <c r="B466" s="6">
        <v>2.5</v>
      </c>
      <c r="C466" s="6" t="s">
        <v>24</v>
      </c>
      <c r="D466" s="6" t="str">
        <f>"29/63"</f>
        <v>29/63</v>
      </c>
      <c r="E466" s="6">
        <v>0.5</v>
      </c>
      <c r="F466" s="6" t="s">
        <v>903</v>
      </c>
      <c r="G466" s="6" t="s">
        <v>904</v>
      </c>
      <c r="H466" t="s">
        <v>51</v>
      </c>
      <c r="I466" s="1" t="s">
        <v>133</v>
      </c>
      <c r="J466" s="6"/>
    </row>
    <row r="467" spans="1:10" x14ac:dyDescent="0.2">
      <c r="A467" s="1" t="s">
        <v>983</v>
      </c>
      <c r="B467" s="6">
        <v>2.5</v>
      </c>
      <c r="C467" s="6" t="s">
        <v>24</v>
      </c>
      <c r="D467" s="6" t="str">
        <f>"43/86"</f>
        <v>43/86</v>
      </c>
      <c r="E467" s="6">
        <v>0.6</v>
      </c>
      <c r="F467" s="6" t="s">
        <v>984</v>
      </c>
      <c r="G467" s="6" t="s">
        <v>985</v>
      </c>
      <c r="H467" t="s">
        <v>15</v>
      </c>
      <c r="I467" s="1" t="s">
        <v>44</v>
      </c>
      <c r="J467" s="6"/>
    </row>
    <row r="468" spans="1:10" x14ac:dyDescent="0.2">
      <c r="A468" s="1" t="s">
        <v>1017</v>
      </c>
      <c r="B468" s="6">
        <v>2.5</v>
      </c>
      <c r="C468" s="6" t="s">
        <v>54</v>
      </c>
      <c r="D468" s="6" t="str">
        <f>"91/119"</f>
        <v>91/119</v>
      </c>
      <c r="E468" s="6">
        <v>0.5</v>
      </c>
      <c r="F468" s="6" t="s">
        <v>1018</v>
      </c>
      <c r="G468" s="6" t="s">
        <v>1018</v>
      </c>
      <c r="H468" t="s">
        <v>27</v>
      </c>
      <c r="I468" s="1" t="s">
        <v>1019</v>
      </c>
      <c r="J468" s="6"/>
    </row>
    <row r="469" spans="1:10" x14ac:dyDescent="0.2">
      <c r="A469" s="1" t="s">
        <v>1020</v>
      </c>
      <c r="B469" s="6">
        <v>2.5</v>
      </c>
      <c r="C469" s="6" t="s">
        <v>7</v>
      </c>
      <c r="D469" s="6" t="str">
        <f>"22/125"</f>
        <v>22/125</v>
      </c>
      <c r="E469" s="6">
        <v>0.6</v>
      </c>
      <c r="F469" s="6" t="s">
        <v>1021</v>
      </c>
      <c r="G469" s="6" t="s">
        <v>1022</v>
      </c>
      <c r="H469" t="s">
        <v>27</v>
      </c>
      <c r="I469" s="1" t="s">
        <v>69</v>
      </c>
      <c r="J469" s="6"/>
    </row>
    <row r="470" spans="1:10" x14ac:dyDescent="0.2">
      <c r="A470" s="1" t="s">
        <v>1042</v>
      </c>
      <c r="B470" s="6">
        <v>2.5</v>
      </c>
      <c r="C470" s="6" t="s">
        <v>18</v>
      </c>
      <c r="D470" s="6" t="str">
        <f>"36/68"</f>
        <v>36/68</v>
      </c>
      <c r="E470" s="6">
        <v>0.9</v>
      </c>
      <c r="F470" s="6" t="s">
        <v>1043</v>
      </c>
      <c r="G470" s="6" t="s">
        <v>1044</v>
      </c>
      <c r="H470" t="s">
        <v>27</v>
      </c>
      <c r="I470" s="1" t="s">
        <v>677</v>
      </c>
      <c r="J470" s="6"/>
    </row>
    <row r="471" spans="1:10" x14ac:dyDescent="0.2">
      <c r="A471" s="1" t="s">
        <v>1177</v>
      </c>
      <c r="B471" s="6">
        <v>2.5</v>
      </c>
      <c r="C471" s="6" t="s">
        <v>24</v>
      </c>
      <c r="D471" s="6" t="str">
        <f>"66/137"</f>
        <v>66/137</v>
      </c>
      <c r="E471" s="6">
        <v>0.8</v>
      </c>
      <c r="F471" s="6" t="s">
        <v>1178</v>
      </c>
      <c r="G471" s="6" t="s">
        <v>1179</v>
      </c>
      <c r="H471" t="s">
        <v>51</v>
      </c>
      <c r="I471" s="1" t="s">
        <v>133</v>
      </c>
      <c r="J471" s="6"/>
    </row>
    <row r="472" spans="1:10" x14ac:dyDescent="0.2">
      <c r="A472" s="1" t="s">
        <v>1282</v>
      </c>
      <c r="B472" s="6">
        <v>2.5</v>
      </c>
      <c r="C472" s="6" t="s">
        <v>54</v>
      </c>
      <c r="D472" s="6" t="str">
        <f>"91/119"</f>
        <v>91/119</v>
      </c>
      <c r="E472" s="6">
        <v>1</v>
      </c>
      <c r="F472" s="6" t="s">
        <v>1283</v>
      </c>
      <c r="G472" s="6" t="s">
        <v>1284</v>
      </c>
      <c r="H472" t="s">
        <v>27</v>
      </c>
      <c r="I472" s="1" t="s">
        <v>763</v>
      </c>
      <c r="J472" s="6"/>
    </row>
    <row r="473" spans="1:10" x14ac:dyDescent="0.2">
      <c r="A473" s="1" t="s">
        <v>1347</v>
      </c>
      <c r="B473" s="6">
        <v>2.5</v>
      </c>
      <c r="C473" s="6" t="s">
        <v>18</v>
      </c>
      <c r="D473" s="6" t="str">
        <f>"36/68"</f>
        <v>36/68</v>
      </c>
      <c r="E473" s="6">
        <v>0.7</v>
      </c>
      <c r="F473" s="6" t="s">
        <v>1348</v>
      </c>
      <c r="G473" s="6" t="s">
        <v>1349</v>
      </c>
      <c r="H473" t="s">
        <v>15</v>
      </c>
      <c r="I473" s="1" t="s">
        <v>44</v>
      </c>
      <c r="J473" s="6"/>
    </row>
    <row r="474" spans="1:10" x14ac:dyDescent="0.2">
      <c r="A474" s="1" t="s">
        <v>1601</v>
      </c>
      <c r="B474" s="6">
        <v>2.5</v>
      </c>
      <c r="C474" s="6" t="s">
        <v>24</v>
      </c>
      <c r="D474" s="6" t="str">
        <f>"66/137"</f>
        <v>66/137</v>
      </c>
      <c r="E474" s="6">
        <v>0.7</v>
      </c>
      <c r="F474" s="6" t="s">
        <v>1602</v>
      </c>
      <c r="G474" s="6" t="s">
        <v>1603</v>
      </c>
      <c r="H474" t="s">
        <v>102</v>
      </c>
      <c r="I474" s="1" t="s">
        <v>133</v>
      </c>
      <c r="J474" s="6"/>
    </row>
    <row r="475" spans="1:10" x14ac:dyDescent="0.2">
      <c r="A475" s="1" t="s">
        <v>1617</v>
      </c>
      <c r="B475" s="6">
        <v>2.5</v>
      </c>
      <c r="C475" s="6" t="s">
        <v>24</v>
      </c>
      <c r="D475" s="6" t="str">
        <f>"29/63"</f>
        <v>29/63</v>
      </c>
      <c r="E475" s="6">
        <v>0.6</v>
      </c>
      <c r="F475" s="6" t="s">
        <v>1618</v>
      </c>
      <c r="G475" s="6" t="s">
        <v>1619</v>
      </c>
      <c r="H475" t="s">
        <v>15</v>
      </c>
      <c r="I475" s="1" t="s">
        <v>36</v>
      </c>
      <c r="J475" s="6"/>
    </row>
    <row r="476" spans="1:10" x14ac:dyDescent="0.2">
      <c r="A476" s="1" t="s">
        <v>1727</v>
      </c>
      <c r="B476" s="6">
        <v>2.5</v>
      </c>
      <c r="C476" s="6" t="s">
        <v>54</v>
      </c>
      <c r="D476" s="6" t="str">
        <f>"23/30"</f>
        <v>23/30</v>
      </c>
      <c r="E476" s="6">
        <v>0.2</v>
      </c>
      <c r="F476" s="6" t="s">
        <v>1728</v>
      </c>
      <c r="G476" s="6" t="s">
        <v>1729</v>
      </c>
      <c r="H476" t="s">
        <v>10</v>
      </c>
      <c r="I476" s="1" t="s">
        <v>361</v>
      </c>
      <c r="J476" s="6"/>
    </row>
    <row r="477" spans="1:10" ht="28.5" x14ac:dyDescent="0.2">
      <c r="A477" s="1" t="s">
        <v>1819</v>
      </c>
      <c r="B477" s="6">
        <v>2.5</v>
      </c>
      <c r="C477" s="6" t="s">
        <v>18</v>
      </c>
      <c r="D477" s="6" t="str">
        <f>"152/275"</f>
        <v>152/275</v>
      </c>
      <c r="E477" s="6">
        <v>0.3</v>
      </c>
      <c r="F477" s="6" t="s">
        <v>1820</v>
      </c>
      <c r="G477" s="6" t="s">
        <v>1821</v>
      </c>
      <c r="H477" t="s">
        <v>15</v>
      </c>
      <c r="I477" s="1" t="s">
        <v>1803</v>
      </c>
      <c r="J477" s="6"/>
    </row>
    <row r="478" spans="1:10" x14ac:dyDescent="0.2">
      <c r="A478" s="1" t="s">
        <v>2316</v>
      </c>
      <c r="B478" s="6">
        <v>2.5</v>
      </c>
      <c r="C478" s="6" t="s">
        <v>18</v>
      </c>
      <c r="D478" s="6" t="str">
        <f>"34/50"</f>
        <v>34/50</v>
      </c>
      <c r="E478" s="6">
        <v>0.3</v>
      </c>
      <c r="F478" s="6" t="s">
        <v>2317</v>
      </c>
      <c r="G478" s="6" t="s">
        <v>2318</v>
      </c>
      <c r="H478" t="s">
        <v>27</v>
      </c>
      <c r="I478" s="1" t="s">
        <v>44</v>
      </c>
      <c r="J478" s="6"/>
    </row>
    <row r="479" spans="1:10" x14ac:dyDescent="0.2">
      <c r="A479" s="1" t="s">
        <v>2408</v>
      </c>
      <c r="B479" s="6">
        <v>2.5</v>
      </c>
      <c r="C479" s="6" t="s">
        <v>24</v>
      </c>
      <c r="D479" s="6" t="str">
        <f>"45/90"</f>
        <v>45/90</v>
      </c>
      <c r="E479" s="6">
        <v>0.9</v>
      </c>
      <c r="F479" s="6" t="s">
        <v>2409</v>
      </c>
      <c r="G479" s="6" t="s">
        <v>2409</v>
      </c>
      <c r="H479" t="s">
        <v>528</v>
      </c>
      <c r="I479" s="1" t="s">
        <v>2410</v>
      </c>
      <c r="J479" s="6"/>
    </row>
    <row r="480" spans="1:10" ht="28.5" x14ac:dyDescent="0.2">
      <c r="A480" s="1" t="s">
        <v>2678</v>
      </c>
      <c r="B480" s="6">
        <v>2.5</v>
      </c>
      <c r="C480" s="6" t="s">
        <v>18</v>
      </c>
      <c r="D480" s="6" t="str">
        <f>"75/139"</f>
        <v>75/139</v>
      </c>
      <c r="E480" s="6">
        <v>0.9</v>
      </c>
      <c r="F480" s="6" t="s">
        <v>2679</v>
      </c>
      <c r="G480" s="6" t="s">
        <v>2679</v>
      </c>
      <c r="H480" t="s">
        <v>27</v>
      </c>
      <c r="I480" s="1" t="s">
        <v>677</v>
      </c>
      <c r="J480" s="6"/>
    </row>
    <row r="481" spans="1:10" ht="28.5" x14ac:dyDescent="0.2">
      <c r="A481" s="1" t="s">
        <v>2771</v>
      </c>
      <c r="B481" s="6">
        <v>2.5</v>
      </c>
      <c r="C481" s="6" t="s">
        <v>24</v>
      </c>
      <c r="D481" s="6" t="str">
        <f>"11/34"</f>
        <v>11/34</v>
      </c>
      <c r="E481" s="6">
        <v>0.7</v>
      </c>
      <c r="F481" s="6" t="s">
        <v>2772</v>
      </c>
      <c r="G481" s="6" t="s">
        <v>2773</v>
      </c>
      <c r="H481" t="s">
        <v>27</v>
      </c>
      <c r="I481" s="1" t="s">
        <v>892</v>
      </c>
      <c r="J481" s="6"/>
    </row>
    <row r="482" spans="1:10" x14ac:dyDescent="0.2">
      <c r="A482" s="1" t="s">
        <v>210</v>
      </c>
      <c r="B482" s="6">
        <v>2.4</v>
      </c>
      <c r="C482" s="6" t="s">
        <v>18</v>
      </c>
      <c r="D482" s="6" t="str">
        <f>"78/139"</f>
        <v>78/139</v>
      </c>
      <c r="E482" s="6">
        <v>0.6</v>
      </c>
      <c r="F482" s="6" t="s">
        <v>211</v>
      </c>
      <c r="G482" s="6" t="s">
        <v>212</v>
      </c>
      <c r="H482" t="s">
        <v>15</v>
      </c>
      <c r="I482" s="1" t="s">
        <v>16</v>
      </c>
      <c r="J482" s="6"/>
    </row>
    <row r="483" spans="1:10" ht="28.5" x14ac:dyDescent="0.2">
      <c r="A483" s="1" t="s">
        <v>467</v>
      </c>
      <c r="B483" s="6">
        <v>2.4</v>
      </c>
      <c r="C483" s="6" t="s">
        <v>18</v>
      </c>
      <c r="D483" s="6" t="str">
        <f>"71/136"</f>
        <v>71/136</v>
      </c>
      <c r="E483" s="6">
        <v>0.8</v>
      </c>
      <c r="F483" s="6" t="s">
        <v>468</v>
      </c>
      <c r="G483" s="6" t="s">
        <v>469</v>
      </c>
      <c r="H483" t="s">
        <v>15</v>
      </c>
      <c r="I483" s="1" t="s">
        <v>36</v>
      </c>
      <c r="J483" s="6"/>
    </row>
    <row r="484" spans="1:10" x14ac:dyDescent="0.2">
      <c r="A484" s="1" t="s">
        <v>652</v>
      </c>
      <c r="B484" s="6">
        <v>2.4</v>
      </c>
      <c r="C484" s="6" t="s">
        <v>18</v>
      </c>
      <c r="D484" s="6" t="str">
        <f>"46/86"</f>
        <v>46/86</v>
      </c>
      <c r="E484" s="6">
        <v>0.6</v>
      </c>
      <c r="F484" s="6" t="s">
        <v>653</v>
      </c>
      <c r="G484" s="6" t="s">
        <v>654</v>
      </c>
      <c r="H484" t="s">
        <v>27</v>
      </c>
      <c r="I484" s="1" t="s">
        <v>133</v>
      </c>
      <c r="J484" s="6"/>
    </row>
    <row r="485" spans="1:10" x14ac:dyDescent="0.2">
      <c r="A485" s="1" t="s">
        <v>727</v>
      </c>
      <c r="B485" s="6">
        <v>2.4</v>
      </c>
      <c r="C485" s="6" t="s">
        <v>18</v>
      </c>
      <c r="D485" s="6" t="str">
        <f>"88/160"</f>
        <v>88/160</v>
      </c>
      <c r="E485" s="6">
        <v>0.5</v>
      </c>
      <c r="F485" s="6" t="s">
        <v>728</v>
      </c>
      <c r="G485" s="6" t="s">
        <v>729</v>
      </c>
      <c r="H485" t="s">
        <v>319</v>
      </c>
      <c r="I485" s="1" t="s">
        <v>730</v>
      </c>
      <c r="J485" s="6"/>
    </row>
    <row r="486" spans="1:10" x14ac:dyDescent="0.2">
      <c r="A486" s="1" t="s">
        <v>743</v>
      </c>
      <c r="B486" s="6">
        <v>2.4</v>
      </c>
      <c r="C486" s="6" t="s">
        <v>18</v>
      </c>
      <c r="D486" s="6" t="str">
        <f>"70/137"</f>
        <v>70/137</v>
      </c>
      <c r="E486" s="6">
        <v>0.5</v>
      </c>
      <c r="F486" s="6" t="s">
        <v>744</v>
      </c>
      <c r="G486" s="6" t="s">
        <v>745</v>
      </c>
      <c r="H486" t="s">
        <v>15</v>
      </c>
      <c r="I486" s="1" t="s">
        <v>40</v>
      </c>
      <c r="J486" s="6"/>
    </row>
    <row r="487" spans="1:10" x14ac:dyDescent="0.2">
      <c r="A487" s="1" t="s">
        <v>771</v>
      </c>
      <c r="B487" s="6">
        <v>2.4</v>
      </c>
      <c r="C487" s="6" t="s">
        <v>18</v>
      </c>
      <c r="D487" s="6" t="str">
        <f>"46/90"</f>
        <v>46/90</v>
      </c>
      <c r="E487" s="6">
        <v>0.9</v>
      </c>
      <c r="F487" s="6" t="s">
        <v>772</v>
      </c>
      <c r="G487" s="6" t="s">
        <v>773</v>
      </c>
      <c r="H487" t="s">
        <v>15</v>
      </c>
      <c r="I487" s="1" t="s">
        <v>730</v>
      </c>
      <c r="J487" s="6"/>
    </row>
    <row r="488" spans="1:10" x14ac:dyDescent="0.2">
      <c r="A488" s="1" t="s">
        <v>953</v>
      </c>
      <c r="B488" s="6">
        <v>2.4</v>
      </c>
      <c r="C488" s="6" t="s">
        <v>54</v>
      </c>
      <c r="D488" s="6" t="str">
        <f>"44/55"</f>
        <v>44/55</v>
      </c>
      <c r="E488" s="6">
        <v>0.6</v>
      </c>
      <c r="F488" s="6" t="s">
        <v>954</v>
      </c>
      <c r="G488" s="6" t="s">
        <v>955</v>
      </c>
      <c r="H488" t="s">
        <v>15</v>
      </c>
      <c r="I488" s="1" t="s">
        <v>40</v>
      </c>
      <c r="J488" s="6"/>
    </row>
    <row r="489" spans="1:10" x14ac:dyDescent="0.2">
      <c r="A489" s="1" t="s">
        <v>1066</v>
      </c>
      <c r="B489" s="6">
        <v>2.4</v>
      </c>
      <c r="C489" s="6" t="s">
        <v>24</v>
      </c>
      <c r="D489" s="6" t="str">
        <f>"7/16"</f>
        <v>7/16</v>
      </c>
      <c r="E489" s="6">
        <v>0.9</v>
      </c>
      <c r="F489" s="6" t="s">
        <v>1067</v>
      </c>
      <c r="G489" s="6" t="s">
        <v>1068</v>
      </c>
      <c r="H489" t="s">
        <v>15</v>
      </c>
      <c r="I489" s="1" t="s">
        <v>338</v>
      </c>
      <c r="J489" s="6"/>
    </row>
    <row r="490" spans="1:10" x14ac:dyDescent="0.2">
      <c r="A490" s="1" t="s">
        <v>1174</v>
      </c>
      <c r="B490" s="6">
        <v>2.4</v>
      </c>
      <c r="C490" s="6" t="s">
        <v>18</v>
      </c>
      <c r="D490" s="6" t="str">
        <f>"78/139"</f>
        <v>78/139</v>
      </c>
      <c r="E490" s="6">
        <v>0.6</v>
      </c>
      <c r="F490" s="6" t="s">
        <v>1175</v>
      </c>
      <c r="G490" s="6" t="s">
        <v>1176</v>
      </c>
      <c r="H490" t="s">
        <v>27</v>
      </c>
      <c r="I490" s="1" t="s">
        <v>677</v>
      </c>
      <c r="J490" s="6"/>
    </row>
    <row r="491" spans="1:10" x14ac:dyDescent="0.2">
      <c r="A491" s="1" t="s">
        <v>1183</v>
      </c>
      <c r="B491" s="6">
        <v>2.4</v>
      </c>
      <c r="C491" s="6" t="s">
        <v>18</v>
      </c>
      <c r="D491" s="6" t="str">
        <f>"71/136"</f>
        <v>71/136</v>
      </c>
      <c r="E491" s="6">
        <v>0.7</v>
      </c>
      <c r="F491" s="6" t="s">
        <v>1184</v>
      </c>
      <c r="G491" s="6" t="s">
        <v>1185</v>
      </c>
      <c r="H491" t="s">
        <v>27</v>
      </c>
      <c r="I491" s="1" t="s">
        <v>677</v>
      </c>
      <c r="J491" s="6"/>
    </row>
    <row r="492" spans="1:10" x14ac:dyDescent="0.2">
      <c r="A492" s="1" t="s">
        <v>1380</v>
      </c>
      <c r="B492" s="6">
        <v>2.4</v>
      </c>
      <c r="C492" s="6" t="s">
        <v>24</v>
      </c>
      <c r="D492" s="6" t="str">
        <f>"12/34"</f>
        <v>12/34</v>
      </c>
      <c r="E492" s="6">
        <v>0.5</v>
      </c>
      <c r="F492" s="6" t="s">
        <v>1381</v>
      </c>
      <c r="G492" s="6" t="s">
        <v>1382</v>
      </c>
      <c r="H492" t="s">
        <v>27</v>
      </c>
      <c r="I492" s="1" t="s">
        <v>677</v>
      </c>
      <c r="J492" s="6"/>
    </row>
    <row r="493" spans="1:10" ht="28.5" x14ac:dyDescent="0.2">
      <c r="A493" s="1" t="s">
        <v>1407</v>
      </c>
      <c r="B493" s="6">
        <v>2.4</v>
      </c>
      <c r="C493" s="6" t="s">
        <v>18</v>
      </c>
      <c r="D493" s="6" t="str">
        <f>"156/275"</f>
        <v>156/275</v>
      </c>
      <c r="E493" s="6">
        <v>0.3</v>
      </c>
      <c r="F493" s="6" t="s">
        <v>1408</v>
      </c>
      <c r="G493" s="6" t="s">
        <v>1409</v>
      </c>
      <c r="H493" t="s">
        <v>299</v>
      </c>
      <c r="I493" s="1" t="s">
        <v>1410</v>
      </c>
      <c r="J493" s="6"/>
    </row>
    <row r="494" spans="1:10" x14ac:dyDescent="0.2">
      <c r="A494" s="1" t="s">
        <v>1682</v>
      </c>
      <c r="B494" s="6">
        <v>2.4</v>
      </c>
      <c r="C494" s="6" t="s">
        <v>18</v>
      </c>
      <c r="D494" s="6" t="str">
        <f>"78/139"</f>
        <v>78/139</v>
      </c>
      <c r="E494" s="6">
        <v>0.4</v>
      </c>
      <c r="F494" s="6" t="s">
        <v>1683</v>
      </c>
      <c r="G494" s="6" t="s">
        <v>1684</v>
      </c>
      <c r="H494" t="s">
        <v>27</v>
      </c>
      <c r="I494" s="1" t="s">
        <v>69</v>
      </c>
      <c r="J494" s="6"/>
    </row>
    <row r="495" spans="1:10" x14ac:dyDescent="0.2">
      <c r="A495" s="1" t="s">
        <v>1788</v>
      </c>
      <c r="B495" s="6">
        <v>2.4</v>
      </c>
      <c r="C495" s="6" t="s">
        <v>18</v>
      </c>
      <c r="D495" s="6" t="str">
        <f>"156/275"</f>
        <v>156/275</v>
      </c>
      <c r="E495" s="6">
        <v>0.4</v>
      </c>
      <c r="F495" s="6" t="s">
        <v>1789</v>
      </c>
      <c r="G495" s="6" t="s">
        <v>1790</v>
      </c>
      <c r="H495" t="s">
        <v>327</v>
      </c>
      <c r="I495" s="1" t="s">
        <v>44</v>
      </c>
      <c r="J495" s="6"/>
    </row>
    <row r="496" spans="1:10" ht="28.5" x14ac:dyDescent="0.2">
      <c r="A496" s="1" t="s">
        <v>1919</v>
      </c>
      <c r="B496" s="6">
        <v>2.4</v>
      </c>
      <c r="C496" s="6" t="s">
        <v>18</v>
      </c>
      <c r="D496" s="6" t="str">
        <f>"88/160"</f>
        <v>88/160</v>
      </c>
      <c r="E496" s="6">
        <v>0.5</v>
      </c>
      <c r="F496" s="6" t="s">
        <v>1920</v>
      </c>
      <c r="G496" s="6" t="s">
        <v>1921</v>
      </c>
      <c r="H496" t="s">
        <v>27</v>
      </c>
      <c r="I496" s="1" t="s">
        <v>512</v>
      </c>
      <c r="J496" s="6"/>
    </row>
    <row r="497" spans="1:10" ht="28.5" x14ac:dyDescent="0.2">
      <c r="A497" s="1" t="s">
        <v>2120</v>
      </c>
      <c r="B497" s="6">
        <v>2.4</v>
      </c>
      <c r="C497" s="6" t="s">
        <v>18</v>
      </c>
      <c r="D497" s="6" t="str">
        <f>"11/16"</f>
        <v>11/16</v>
      </c>
      <c r="E497" s="6">
        <v>0.3</v>
      </c>
      <c r="F497" s="6" t="s">
        <v>2121</v>
      </c>
      <c r="G497" s="6" t="s">
        <v>2122</v>
      </c>
      <c r="H497" t="s">
        <v>27</v>
      </c>
      <c r="I497" s="1" t="s">
        <v>16</v>
      </c>
      <c r="J497" s="6"/>
    </row>
    <row r="498" spans="1:10" x14ac:dyDescent="0.2">
      <c r="A498" s="1" t="s">
        <v>2210</v>
      </c>
      <c r="B498" s="6">
        <v>2.4</v>
      </c>
      <c r="C498" s="6" t="s">
        <v>24</v>
      </c>
      <c r="D498" s="6" t="str">
        <f>"31/63"</f>
        <v>31/63</v>
      </c>
      <c r="E498" s="6">
        <v>0.2</v>
      </c>
      <c r="F498" s="6" t="s">
        <v>2211</v>
      </c>
      <c r="G498" s="6" t="s">
        <v>2212</v>
      </c>
      <c r="H498" t="s">
        <v>102</v>
      </c>
      <c r="I498" s="1" t="s">
        <v>133</v>
      </c>
      <c r="J498" s="6"/>
    </row>
    <row r="499" spans="1:10" x14ac:dyDescent="0.2">
      <c r="A499" s="1" t="s">
        <v>2234</v>
      </c>
      <c r="B499" s="6">
        <v>2.4</v>
      </c>
      <c r="C499" s="6" t="s">
        <v>18</v>
      </c>
      <c r="D499" s="6" t="str">
        <f>"70/137"</f>
        <v>70/137</v>
      </c>
      <c r="E499" s="6">
        <v>0.6</v>
      </c>
      <c r="F499" s="6" t="s">
        <v>2235</v>
      </c>
      <c r="G499" s="6" t="s">
        <v>2236</v>
      </c>
      <c r="H499" t="s">
        <v>10</v>
      </c>
      <c r="I499" s="1" t="s">
        <v>133</v>
      </c>
      <c r="J499" s="6"/>
    </row>
    <row r="500" spans="1:10" x14ac:dyDescent="0.2">
      <c r="A500" s="1" t="s">
        <v>2243</v>
      </c>
      <c r="B500" s="6">
        <v>2.4</v>
      </c>
      <c r="C500" s="6" t="s">
        <v>24</v>
      </c>
      <c r="D500" s="6" t="str">
        <f>"16/32"</f>
        <v>16/32</v>
      </c>
      <c r="E500" s="6">
        <v>0.5</v>
      </c>
      <c r="F500" s="6" t="s">
        <v>2244</v>
      </c>
      <c r="G500" s="6" t="s">
        <v>2245</v>
      </c>
      <c r="H500" t="s">
        <v>15</v>
      </c>
      <c r="I500" s="1" t="s">
        <v>133</v>
      </c>
      <c r="J500" s="6"/>
    </row>
    <row r="501" spans="1:10" x14ac:dyDescent="0.2">
      <c r="A501" s="1" t="s">
        <v>2270</v>
      </c>
      <c r="B501" s="6">
        <v>2.4</v>
      </c>
      <c r="C501" s="6" t="s">
        <v>18</v>
      </c>
      <c r="D501" s="6" t="str">
        <f>"16/28"</f>
        <v>16/28</v>
      </c>
      <c r="E501" s="6">
        <v>0.4</v>
      </c>
      <c r="F501" s="6" t="s">
        <v>2271</v>
      </c>
      <c r="G501" s="6" t="s">
        <v>2272</v>
      </c>
      <c r="H501" t="s">
        <v>292</v>
      </c>
      <c r="I501" s="1" t="s">
        <v>133</v>
      </c>
      <c r="J501" s="6"/>
    </row>
    <row r="502" spans="1:10" x14ac:dyDescent="0.2">
      <c r="A502" s="1" t="s">
        <v>2273</v>
      </c>
      <c r="B502" s="6">
        <v>2.4</v>
      </c>
      <c r="C502" s="6" t="s">
        <v>24</v>
      </c>
      <c r="D502" s="6" t="str">
        <f>"12/31"</f>
        <v>12/31</v>
      </c>
      <c r="E502" s="6">
        <v>0.4</v>
      </c>
      <c r="F502" s="6" t="s">
        <v>2274</v>
      </c>
      <c r="G502" s="6" t="s">
        <v>2274</v>
      </c>
      <c r="H502" t="s">
        <v>292</v>
      </c>
      <c r="I502" s="1" t="s">
        <v>133</v>
      </c>
      <c r="J502" s="6"/>
    </row>
    <row r="503" spans="1:10" x14ac:dyDescent="0.2">
      <c r="A503" s="1" t="s">
        <v>2279</v>
      </c>
      <c r="B503" s="6">
        <v>2.4</v>
      </c>
      <c r="C503" s="6" t="s">
        <v>18</v>
      </c>
      <c r="D503" s="6" t="str">
        <f>"41/81"</f>
        <v>41/81</v>
      </c>
      <c r="E503" s="6">
        <v>0.5</v>
      </c>
      <c r="F503" s="6" t="s">
        <v>2280</v>
      </c>
      <c r="G503" s="6" t="s">
        <v>2281</v>
      </c>
      <c r="H503" t="s">
        <v>15</v>
      </c>
      <c r="I503" s="1" t="s">
        <v>44</v>
      </c>
      <c r="J503" s="6"/>
    </row>
    <row r="504" spans="1:10" x14ac:dyDescent="0.2">
      <c r="A504" s="1" t="s">
        <v>2296</v>
      </c>
      <c r="B504" s="6">
        <v>2.4</v>
      </c>
      <c r="C504" s="6" t="s">
        <v>18</v>
      </c>
      <c r="D504" s="6" t="str">
        <f>"29/41"</f>
        <v>29/41</v>
      </c>
      <c r="E504" s="6">
        <v>2.6</v>
      </c>
      <c r="F504" s="6" t="s">
        <v>2297</v>
      </c>
      <c r="G504" s="6" t="s">
        <v>60</v>
      </c>
      <c r="H504" t="s">
        <v>15</v>
      </c>
      <c r="I504" s="1" t="s">
        <v>248</v>
      </c>
      <c r="J504" s="6"/>
    </row>
    <row r="505" spans="1:10" x14ac:dyDescent="0.2">
      <c r="A505" s="1" t="s">
        <v>2521</v>
      </c>
      <c r="B505" s="6">
        <v>2.4</v>
      </c>
      <c r="C505" s="6" t="s">
        <v>24</v>
      </c>
      <c r="D505" s="6" t="str">
        <f>"8/16"</f>
        <v>8/16</v>
      </c>
      <c r="E505" s="6">
        <v>0.1</v>
      </c>
      <c r="F505" s="6" t="s">
        <v>2522</v>
      </c>
      <c r="G505" s="6" t="s">
        <v>2523</v>
      </c>
      <c r="H505" t="s">
        <v>15</v>
      </c>
      <c r="I505" s="1" t="s">
        <v>44</v>
      </c>
      <c r="J505" s="6"/>
    </row>
    <row r="506" spans="1:10" x14ac:dyDescent="0.2">
      <c r="A506" s="1" t="s">
        <v>2668</v>
      </c>
      <c r="B506" s="6">
        <v>2.4</v>
      </c>
      <c r="C506" s="6" t="s">
        <v>18</v>
      </c>
      <c r="D506" s="6" t="str">
        <f>"37/65"</f>
        <v>37/65</v>
      </c>
      <c r="E506" s="6">
        <v>0.4</v>
      </c>
      <c r="F506" s="6" t="s">
        <v>2669</v>
      </c>
      <c r="G506" s="6" t="s">
        <v>2670</v>
      </c>
      <c r="H506" t="s">
        <v>932</v>
      </c>
      <c r="I506" s="1" t="s">
        <v>16</v>
      </c>
      <c r="J506" s="6"/>
    </row>
    <row r="507" spans="1:10" x14ac:dyDescent="0.2">
      <c r="A507" s="1" t="s">
        <v>6</v>
      </c>
      <c r="B507" s="6">
        <v>2.2999999999999998</v>
      </c>
      <c r="C507" s="6" t="s">
        <v>7</v>
      </c>
      <c r="D507" s="6" t="str">
        <f>"46/267"</f>
        <v>46/267</v>
      </c>
      <c r="E507" s="6">
        <v>0.5</v>
      </c>
      <c r="F507" s="6" t="s">
        <v>8</v>
      </c>
      <c r="G507" s="6" t="s">
        <v>9</v>
      </c>
      <c r="H507" t="s">
        <v>10</v>
      </c>
      <c r="I507" s="1" t="s">
        <v>11</v>
      </c>
      <c r="J507" s="6"/>
    </row>
    <row r="508" spans="1:10" x14ac:dyDescent="0.2">
      <c r="A508" s="1" t="s">
        <v>268</v>
      </c>
      <c r="B508" s="6">
        <v>2.2999999999999998</v>
      </c>
      <c r="C508" s="6" t="s">
        <v>18</v>
      </c>
      <c r="D508" s="6" t="str">
        <f>"162/275"</f>
        <v>162/275</v>
      </c>
      <c r="E508" s="6">
        <v>0.4</v>
      </c>
      <c r="F508" s="6" t="s">
        <v>269</v>
      </c>
      <c r="G508" s="6" t="s">
        <v>270</v>
      </c>
      <c r="H508" t="s">
        <v>15</v>
      </c>
      <c r="I508" s="1" t="s">
        <v>271</v>
      </c>
      <c r="J508" s="6"/>
    </row>
    <row r="509" spans="1:10" x14ac:dyDescent="0.2">
      <c r="A509" s="1" t="s">
        <v>398</v>
      </c>
      <c r="B509" s="6">
        <v>2.2999999999999998</v>
      </c>
      <c r="C509" s="6" t="s">
        <v>18</v>
      </c>
      <c r="D509" s="6" t="str">
        <f>"48/90"</f>
        <v>48/90</v>
      </c>
      <c r="E509" s="6">
        <v>0.5</v>
      </c>
      <c r="F509" s="6" t="s">
        <v>399</v>
      </c>
      <c r="G509" s="6" t="s">
        <v>400</v>
      </c>
      <c r="H509" t="s">
        <v>15</v>
      </c>
      <c r="I509" s="1" t="s">
        <v>16</v>
      </c>
      <c r="J509" s="6"/>
    </row>
    <row r="510" spans="1:10" x14ac:dyDescent="0.2">
      <c r="A510" s="1" t="s">
        <v>662</v>
      </c>
      <c r="B510" s="6">
        <v>2.2999999999999998</v>
      </c>
      <c r="C510" s="6" t="s">
        <v>18</v>
      </c>
      <c r="D510" s="6" t="str">
        <f>"47/86"</f>
        <v>47/86</v>
      </c>
      <c r="E510" s="6">
        <v>0.2</v>
      </c>
      <c r="F510" s="6" t="s">
        <v>663</v>
      </c>
      <c r="G510" s="6" t="s">
        <v>664</v>
      </c>
      <c r="H510" t="s">
        <v>27</v>
      </c>
      <c r="I510" s="1" t="s">
        <v>16</v>
      </c>
      <c r="J510" s="6"/>
    </row>
    <row r="511" spans="1:10" x14ac:dyDescent="0.2">
      <c r="A511" s="1" t="s">
        <v>724</v>
      </c>
      <c r="B511" s="6">
        <v>2.2999999999999998</v>
      </c>
      <c r="C511" s="6" t="s">
        <v>18</v>
      </c>
      <c r="D511" s="6" t="str">
        <f>"93/160"</f>
        <v>93/160</v>
      </c>
      <c r="E511" s="6">
        <v>0.8</v>
      </c>
      <c r="F511" s="6" t="s">
        <v>725</v>
      </c>
      <c r="G511" s="6" t="s">
        <v>726</v>
      </c>
      <c r="H511" t="s">
        <v>102</v>
      </c>
      <c r="I511" s="1" t="s">
        <v>103</v>
      </c>
      <c r="J511" s="6"/>
    </row>
    <row r="512" spans="1:10" x14ac:dyDescent="0.2">
      <c r="A512" s="1" t="s">
        <v>884</v>
      </c>
      <c r="B512" s="6">
        <v>2.2999999999999998</v>
      </c>
      <c r="C512" s="6" t="s">
        <v>18</v>
      </c>
      <c r="D512" s="6" t="str">
        <f>"84/139"</f>
        <v>84/139</v>
      </c>
      <c r="E512" s="6">
        <v>0.6</v>
      </c>
      <c r="F512" s="6" t="s">
        <v>885</v>
      </c>
      <c r="G512" s="6" t="s">
        <v>885</v>
      </c>
      <c r="H512" t="s">
        <v>27</v>
      </c>
      <c r="I512" s="1" t="s">
        <v>677</v>
      </c>
      <c r="J512" s="6"/>
    </row>
    <row r="513" spans="1:10" x14ac:dyDescent="0.2">
      <c r="A513" s="1" t="s">
        <v>911</v>
      </c>
      <c r="B513" s="6">
        <v>2.2999999999999998</v>
      </c>
      <c r="C513" s="6" t="s">
        <v>18</v>
      </c>
      <c r="D513" s="6" t="str">
        <f>"93/160"</f>
        <v>93/160</v>
      </c>
      <c r="E513" s="6">
        <v>0.3</v>
      </c>
      <c r="F513" s="6" t="s">
        <v>912</v>
      </c>
      <c r="G513" s="6" t="s">
        <v>913</v>
      </c>
      <c r="H513" t="s">
        <v>27</v>
      </c>
      <c r="I513" s="1" t="s">
        <v>16</v>
      </c>
      <c r="J513" s="6"/>
    </row>
    <row r="514" spans="1:10" ht="28.5" x14ac:dyDescent="0.2">
      <c r="A514" s="1" t="s">
        <v>980</v>
      </c>
      <c r="B514" s="6">
        <v>2.2999999999999998</v>
      </c>
      <c r="C514" s="6" t="s">
        <v>18</v>
      </c>
      <c r="D514" s="6" t="str">
        <f>"75/136"</f>
        <v>75/136</v>
      </c>
      <c r="E514" s="6">
        <v>1.2</v>
      </c>
      <c r="F514" s="6" t="s">
        <v>981</v>
      </c>
      <c r="G514" s="6" t="s">
        <v>982</v>
      </c>
      <c r="H514" t="s">
        <v>27</v>
      </c>
      <c r="I514" s="1" t="s">
        <v>763</v>
      </c>
      <c r="J514" s="6"/>
    </row>
    <row r="515" spans="1:10" x14ac:dyDescent="0.2">
      <c r="A515" s="1" t="s">
        <v>1035</v>
      </c>
      <c r="B515" s="6">
        <v>2.2999999999999998</v>
      </c>
      <c r="C515" s="6" t="s">
        <v>18</v>
      </c>
      <c r="D515" s="6" t="str">
        <f>"34/63"</f>
        <v>34/63</v>
      </c>
      <c r="E515" s="6">
        <v>1</v>
      </c>
      <c r="F515" s="6" t="s">
        <v>1036</v>
      </c>
      <c r="G515" s="6" t="s">
        <v>1037</v>
      </c>
      <c r="H515" t="s">
        <v>27</v>
      </c>
      <c r="I515" s="1" t="s">
        <v>1038</v>
      </c>
      <c r="J515" s="6"/>
    </row>
    <row r="516" spans="1:10" x14ac:dyDescent="0.2">
      <c r="A516" s="1" t="s">
        <v>1079</v>
      </c>
      <c r="B516" s="6">
        <v>2.2999999999999998</v>
      </c>
      <c r="C516" s="6" t="s">
        <v>18</v>
      </c>
      <c r="D516" s="6" t="str">
        <f>"93/160"</f>
        <v>93/160</v>
      </c>
      <c r="E516" s="6">
        <v>0.8</v>
      </c>
      <c r="F516" s="6" t="s">
        <v>1080</v>
      </c>
      <c r="G516" s="6" t="s">
        <v>1081</v>
      </c>
      <c r="H516" t="s">
        <v>15</v>
      </c>
      <c r="I516" s="1" t="s">
        <v>730</v>
      </c>
      <c r="J516" s="6"/>
    </row>
    <row r="517" spans="1:10" ht="28.5" x14ac:dyDescent="0.2">
      <c r="A517" s="1" t="s">
        <v>1085</v>
      </c>
      <c r="B517" s="6">
        <v>2.2999999999999998</v>
      </c>
      <c r="C517" s="6" t="s">
        <v>18</v>
      </c>
      <c r="D517" s="6" t="str">
        <f>"59/100"</f>
        <v>59/100</v>
      </c>
      <c r="E517" s="6">
        <v>0.7</v>
      </c>
      <c r="F517" s="6" t="s">
        <v>1086</v>
      </c>
      <c r="G517" s="6" t="s">
        <v>1087</v>
      </c>
      <c r="H517" t="s">
        <v>27</v>
      </c>
      <c r="I517" s="1" t="s">
        <v>589</v>
      </c>
      <c r="J517" s="6"/>
    </row>
    <row r="518" spans="1:10" ht="28.5" x14ac:dyDescent="0.2">
      <c r="A518" s="1" t="s">
        <v>1133</v>
      </c>
      <c r="B518" s="6">
        <v>2.2999999999999998</v>
      </c>
      <c r="C518" s="6" t="s">
        <v>24</v>
      </c>
      <c r="D518" s="6" t="str">
        <f>"15/31"</f>
        <v>15/31</v>
      </c>
      <c r="E518" s="6">
        <v>0.7</v>
      </c>
      <c r="F518" s="6" t="s">
        <v>1134</v>
      </c>
      <c r="G518" s="6" t="s">
        <v>1135</v>
      </c>
      <c r="H518" t="s">
        <v>15</v>
      </c>
      <c r="I518" s="1" t="s">
        <v>36</v>
      </c>
      <c r="J518" s="6"/>
    </row>
    <row r="519" spans="1:10" x14ac:dyDescent="0.2">
      <c r="A519" s="1" t="s">
        <v>1180</v>
      </c>
      <c r="B519" s="6">
        <v>2.2999999999999998</v>
      </c>
      <c r="C519" s="6" t="s">
        <v>18</v>
      </c>
      <c r="D519" s="6" t="str">
        <f>"84/139"</f>
        <v>84/139</v>
      </c>
      <c r="E519" s="6">
        <v>0.7</v>
      </c>
      <c r="F519" s="6" t="s">
        <v>1181</v>
      </c>
      <c r="G519" s="6" t="s">
        <v>1182</v>
      </c>
      <c r="H519" t="s">
        <v>102</v>
      </c>
      <c r="I519" s="1" t="s">
        <v>44</v>
      </c>
      <c r="J519" s="6"/>
    </row>
    <row r="520" spans="1:10" x14ac:dyDescent="0.2">
      <c r="A520" s="1" t="s">
        <v>1221</v>
      </c>
      <c r="B520" s="6">
        <v>2.2999999999999998</v>
      </c>
      <c r="C520" s="6" t="s">
        <v>18</v>
      </c>
      <c r="D520" s="6" t="str">
        <f>"34/63"</f>
        <v>34/63</v>
      </c>
      <c r="E520" s="6">
        <v>0.2</v>
      </c>
      <c r="F520" s="6" t="s">
        <v>1222</v>
      </c>
      <c r="G520" s="6" t="s">
        <v>1223</v>
      </c>
      <c r="H520" t="s">
        <v>15</v>
      </c>
      <c r="I520" s="1" t="s">
        <v>1038</v>
      </c>
      <c r="J520" s="6"/>
    </row>
    <row r="521" spans="1:10" ht="28.5" x14ac:dyDescent="0.2">
      <c r="A521" s="1" t="s">
        <v>1278</v>
      </c>
      <c r="B521" s="6">
        <v>2.2999999999999998</v>
      </c>
      <c r="C521" s="6" t="s">
        <v>18</v>
      </c>
      <c r="D521" s="6" t="str">
        <f>"162/275"</f>
        <v>162/275</v>
      </c>
      <c r="E521" s="6">
        <v>0.3</v>
      </c>
      <c r="F521" s="6" t="s">
        <v>1279</v>
      </c>
      <c r="G521" s="6" t="s">
        <v>1280</v>
      </c>
      <c r="H521" t="s">
        <v>21</v>
      </c>
      <c r="I521" s="1" t="s">
        <v>1281</v>
      </c>
      <c r="J521" s="6"/>
    </row>
    <row r="522" spans="1:10" ht="28.5" x14ac:dyDescent="0.2">
      <c r="A522" s="1" t="s">
        <v>1361</v>
      </c>
      <c r="B522" s="6">
        <v>2.2999999999999998</v>
      </c>
      <c r="C522" s="6" t="s">
        <v>24</v>
      </c>
      <c r="D522" s="6" t="str">
        <f>"13/34"</f>
        <v>13/34</v>
      </c>
      <c r="E522" s="6">
        <v>1.5</v>
      </c>
      <c r="F522" s="6" t="s">
        <v>1362</v>
      </c>
      <c r="G522" s="6" t="s">
        <v>1363</v>
      </c>
      <c r="H522" t="s">
        <v>27</v>
      </c>
      <c r="I522" s="1" t="s">
        <v>589</v>
      </c>
      <c r="J522" s="6"/>
    </row>
    <row r="523" spans="1:10" x14ac:dyDescent="0.2">
      <c r="A523" s="1" t="s">
        <v>1383</v>
      </c>
      <c r="B523" s="6">
        <v>2.2999999999999998</v>
      </c>
      <c r="C523" s="6" t="s">
        <v>18</v>
      </c>
      <c r="D523" s="6" t="str">
        <f>"84/139"</f>
        <v>84/139</v>
      </c>
      <c r="E523" s="6">
        <v>0.5</v>
      </c>
      <c r="F523" s="6" t="s">
        <v>1384</v>
      </c>
      <c r="G523" s="6" t="s">
        <v>1385</v>
      </c>
      <c r="H523" t="s">
        <v>15</v>
      </c>
      <c r="I523" s="1" t="s">
        <v>1386</v>
      </c>
      <c r="J523" s="6"/>
    </row>
    <row r="524" spans="1:10" x14ac:dyDescent="0.2">
      <c r="A524" s="1" t="s">
        <v>1414</v>
      </c>
      <c r="B524" s="6">
        <v>2.2999999999999998</v>
      </c>
      <c r="C524" s="6" t="s">
        <v>18</v>
      </c>
      <c r="D524" s="6" t="str">
        <f>"162/275"</f>
        <v>162/275</v>
      </c>
      <c r="E524" s="6">
        <v>0.2</v>
      </c>
      <c r="F524" s="6" t="s">
        <v>1415</v>
      </c>
      <c r="G524" s="6" t="s">
        <v>1415</v>
      </c>
      <c r="H524" t="s">
        <v>15</v>
      </c>
      <c r="I524" s="1" t="s">
        <v>1386</v>
      </c>
      <c r="J524" s="6"/>
    </row>
    <row r="525" spans="1:10" x14ac:dyDescent="0.2">
      <c r="A525" s="1" t="s">
        <v>1548</v>
      </c>
      <c r="B525" s="6">
        <v>2.2999999999999998</v>
      </c>
      <c r="C525" s="6" t="s">
        <v>18</v>
      </c>
      <c r="D525" s="6" t="str">
        <f>"34/63"</f>
        <v>34/63</v>
      </c>
      <c r="E525" s="6">
        <v>0.8</v>
      </c>
      <c r="F525" s="6" t="s">
        <v>1549</v>
      </c>
      <c r="G525" s="6" t="s">
        <v>1550</v>
      </c>
      <c r="H525" t="s">
        <v>15</v>
      </c>
      <c r="I525" s="1" t="s">
        <v>387</v>
      </c>
      <c r="J525" s="6"/>
    </row>
    <row r="526" spans="1:10" x14ac:dyDescent="0.2">
      <c r="A526" s="1" t="s">
        <v>1672</v>
      </c>
      <c r="B526" s="6">
        <v>2.2999999999999998</v>
      </c>
      <c r="C526" s="6" t="s">
        <v>18</v>
      </c>
      <c r="D526" s="6" t="str">
        <f>"162/275"</f>
        <v>162/275</v>
      </c>
      <c r="E526" s="6">
        <v>0.4</v>
      </c>
      <c r="F526" s="6" t="s">
        <v>1673</v>
      </c>
      <c r="G526" s="6" t="s">
        <v>1674</v>
      </c>
      <c r="H526" t="s">
        <v>15</v>
      </c>
      <c r="I526" s="1" t="s">
        <v>16</v>
      </c>
      <c r="J526" s="6"/>
    </row>
    <row r="527" spans="1:10" x14ac:dyDescent="0.2">
      <c r="A527" s="1" t="s">
        <v>1704</v>
      </c>
      <c r="B527" s="6">
        <v>2.2999999999999998</v>
      </c>
      <c r="C527" s="6" t="s">
        <v>54</v>
      </c>
      <c r="D527" s="6" t="str">
        <f>"24/30"</f>
        <v>24/30</v>
      </c>
      <c r="E527" s="6">
        <v>0.3</v>
      </c>
      <c r="F527" s="6" t="s">
        <v>1705</v>
      </c>
      <c r="G527" s="6" t="s">
        <v>1705</v>
      </c>
      <c r="H527" t="s">
        <v>1457</v>
      </c>
      <c r="I527" s="1" t="s">
        <v>87</v>
      </c>
      <c r="J527" s="6"/>
    </row>
    <row r="528" spans="1:10" x14ac:dyDescent="0.2">
      <c r="A528" s="1" t="s">
        <v>1816</v>
      </c>
      <c r="B528" s="6">
        <v>2.2999999999999998</v>
      </c>
      <c r="C528" s="6" t="s">
        <v>18</v>
      </c>
      <c r="D528" s="6" t="str">
        <f>"162/275"</f>
        <v>162/275</v>
      </c>
      <c r="E528" s="6">
        <v>0.4</v>
      </c>
      <c r="F528" s="6" t="s">
        <v>1817</v>
      </c>
      <c r="G528" s="6" t="s">
        <v>1818</v>
      </c>
      <c r="H528" t="s">
        <v>15</v>
      </c>
      <c r="I528" s="1" t="s">
        <v>16</v>
      </c>
      <c r="J528" s="6"/>
    </row>
    <row r="529" spans="1:10" ht="28.5" x14ac:dyDescent="0.2">
      <c r="A529" s="1" t="s">
        <v>1822</v>
      </c>
      <c r="B529" s="6">
        <v>2.2999999999999998</v>
      </c>
      <c r="C529" s="6" t="s">
        <v>18</v>
      </c>
      <c r="D529" s="6" t="str">
        <f>"162/275"</f>
        <v>162/275</v>
      </c>
      <c r="E529" s="6">
        <v>0.2</v>
      </c>
      <c r="F529" s="6" t="s">
        <v>1823</v>
      </c>
      <c r="G529" s="6" t="s">
        <v>1824</v>
      </c>
      <c r="H529" t="s">
        <v>15</v>
      </c>
      <c r="I529" s="1" t="s">
        <v>1803</v>
      </c>
      <c r="J529" s="6"/>
    </row>
    <row r="530" spans="1:10" ht="28.5" x14ac:dyDescent="0.2">
      <c r="A530" s="1" t="s">
        <v>2056</v>
      </c>
      <c r="B530" s="6">
        <v>2.2999999999999998</v>
      </c>
      <c r="C530" s="6" t="s">
        <v>18</v>
      </c>
      <c r="D530" s="6" t="str">
        <f>"162/275"</f>
        <v>162/275</v>
      </c>
      <c r="E530" s="6">
        <v>0.7</v>
      </c>
      <c r="F530" s="6" t="s">
        <v>2057</v>
      </c>
      <c r="G530" s="6" t="s">
        <v>2057</v>
      </c>
      <c r="H530" t="s">
        <v>27</v>
      </c>
      <c r="I530" s="1" t="s">
        <v>512</v>
      </c>
      <c r="J530" s="6"/>
    </row>
    <row r="531" spans="1:10" x14ac:dyDescent="0.2">
      <c r="A531" s="1" t="s">
        <v>2128</v>
      </c>
      <c r="B531" s="6">
        <v>2.2999999999999998</v>
      </c>
      <c r="C531" s="6" t="s">
        <v>18</v>
      </c>
      <c r="D531" s="6" t="str">
        <f>"34/63"</f>
        <v>34/63</v>
      </c>
      <c r="E531" s="6">
        <v>0.2</v>
      </c>
      <c r="F531" s="6" t="s">
        <v>2129</v>
      </c>
      <c r="G531" s="6" t="s">
        <v>2130</v>
      </c>
      <c r="H531" t="s">
        <v>27</v>
      </c>
      <c r="I531" s="1" t="s">
        <v>69</v>
      </c>
      <c r="J531" s="6"/>
    </row>
    <row r="532" spans="1:10" x14ac:dyDescent="0.2">
      <c r="A532" s="1" t="s">
        <v>2538</v>
      </c>
      <c r="B532" s="6">
        <v>2.2999999999999998</v>
      </c>
      <c r="C532" s="6" t="s">
        <v>18</v>
      </c>
      <c r="D532" s="6" t="str">
        <f>"162/275"</f>
        <v>162/275</v>
      </c>
      <c r="E532" s="6">
        <v>0.3</v>
      </c>
      <c r="F532" s="6" t="s">
        <v>2539</v>
      </c>
      <c r="G532" s="6" t="s">
        <v>2540</v>
      </c>
      <c r="H532" t="s">
        <v>27</v>
      </c>
      <c r="I532" s="1" t="s">
        <v>2541</v>
      </c>
      <c r="J532" s="6"/>
    </row>
    <row r="533" spans="1:10" x14ac:dyDescent="0.2">
      <c r="A533" s="1" t="s">
        <v>207</v>
      </c>
      <c r="B533" s="6">
        <v>2.2000000000000002</v>
      </c>
      <c r="C533" s="6" t="s">
        <v>18</v>
      </c>
      <c r="D533" s="6" t="str">
        <f>"79/136"</f>
        <v>79/136</v>
      </c>
      <c r="E533" s="6">
        <v>0.7</v>
      </c>
      <c r="F533" s="6" t="s">
        <v>208</v>
      </c>
      <c r="G533" s="6" t="s">
        <v>209</v>
      </c>
      <c r="H533" t="s">
        <v>21</v>
      </c>
      <c r="I533" s="1" t="s">
        <v>22</v>
      </c>
      <c r="J533" s="6"/>
    </row>
    <row r="534" spans="1:10" x14ac:dyDescent="0.2">
      <c r="A534" s="1" t="s">
        <v>276</v>
      </c>
      <c r="B534" s="6">
        <v>2.2000000000000002</v>
      </c>
      <c r="C534" s="6" t="s">
        <v>7</v>
      </c>
      <c r="D534" s="6" t="str">
        <f>"49/267"</f>
        <v>49/267</v>
      </c>
      <c r="E534" s="6">
        <v>0.6</v>
      </c>
      <c r="F534" s="6" t="s">
        <v>277</v>
      </c>
      <c r="G534" s="6" t="s">
        <v>278</v>
      </c>
      <c r="H534" t="s">
        <v>27</v>
      </c>
      <c r="I534" s="1" t="s">
        <v>275</v>
      </c>
      <c r="J534" s="6"/>
    </row>
    <row r="535" spans="1:10" x14ac:dyDescent="0.2">
      <c r="A535" s="1" t="s">
        <v>279</v>
      </c>
      <c r="B535" s="6">
        <v>2.2000000000000002</v>
      </c>
      <c r="C535" s="6" t="s">
        <v>18</v>
      </c>
      <c r="D535" s="6" t="str">
        <f>"83/137"</f>
        <v>83/137</v>
      </c>
      <c r="E535" s="6">
        <v>0.3</v>
      </c>
      <c r="F535" s="6" t="s">
        <v>280</v>
      </c>
      <c r="G535" s="6" t="s">
        <v>281</v>
      </c>
      <c r="H535" t="s">
        <v>10</v>
      </c>
      <c r="I535" s="1" t="s">
        <v>133</v>
      </c>
      <c r="J535" s="6"/>
    </row>
    <row r="536" spans="1:10" ht="28.5" x14ac:dyDescent="0.2">
      <c r="A536" s="1" t="s">
        <v>497</v>
      </c>
      <c r="B536" s="6">
        <v>2.2000000000000002</v>
      </c>
      <c r="C536" s="6" t="s">
        <v>18</v>
      </c>
      <c r="D536" s="6" t="str">
        <f>"124/202"</f>
        <v>124/202</v>
      </c>
      <c r="E536" s="6">
        <v>1.4</v>
      </c>
      <c r="F536" s="6" t="s">
        <v>498</v>
      </c>
      <c r="G536" s="6" t="s">
        <v>499</v>
      </c>
      <c r="H536" t="s">
        <v>15</v>
      </c>
      <c r="I536" s="1" t="s">
        <v>248</v>
      </c>
      <c r="J536" s="6"/>
    </row>
    <row r="537" spans="1:10" x14ac:dyDescent="0.2">
      <c r="A537" s="1" t="s">
        <v>658</v>
      </c>
      <c r="B537" s="6">
        <v>2.2000000000000002</v>
      </c>
      <c r="C537" s="6" t="s">
        <v>24</v>
      </c>
      <c r="D537" s="6" t="str">
        <f>"14/34"</f>
        <v>14/34</v>
      </c>
      <c r="E537" s="6">
        <v>0.2</v>
      </c>
      <c r="F537" s="6" t="s">
        <v>659</v>
      </c>
      <c r="G537" s="6" t="s">
        <v>660</v>
      </c>
      <c r="H537" t="s">
        <v>27</v>
      </c>
      <c r="I537" s="1" t="s">
        <v>661</v>
      </c>
      <c r="J537" s="6"/>
    </row>
    <row r="538" spans="1:10" x14ac:dyDescent="0.2">
      <c r="A538" s="1" t="s">
        <v>718</v>
      </c>
      <c r="B538" s="6">
        <v>2.2000000000000002</v>
      </c>
      <c r="C538" s="6" t="s">
        <v>18</v>
      </c>
      <c r="D538" s="6" t="str">
        <f>"174/275"</f>
        <v>174/275</v>
      </c>
      <c r="E538" s="6">
        <v>0.7</v>
      </c>
      <c r="F538" s="6" t="s">
        <v>719</v>
      </c>
      <c r="G538" s="6" t="s">
        <v>720</v>
      </c>
      <c r="H538" t="s">
        <v>15</v>
      </c>
      <c r="I538" s="1" t="s">
        <v>77</v>
      </c>
      <c r="J538" s="6"/>
    </row>
    <row r="539" spans="1:10" ht="28.5" x14ac:dyDescent="0.2">
      <c r="A539" s="1" t="s">
        <v>843</v>
      </c>
      <c r="B539" s="6">
        <v>2.2000000000000002</v>
      </c>
      <c r="C539" s="6" t="s">
        <v>18</v>
      </c>
      <c r="D539" s="6" t="str">
        <f>"87/139"</f>
        <v>87/139</v>
      </c>
      <c r="E539" s="6">
        <v>0.4</v>
      </c>
      <c r="F539" s="6" t="s">
        <v>844</v>
      </c>
      <c r="G539" s="6" t="s">
        <v>845</v>
      </c>
      <c r="H539" t="s">
        <v>21</v>
      </c>
      <c r="I539" s="1" t="s">
        <v>846</v>
      </c>
      <c r="J539" s="6"/>
    </row>
    <row r="540" spans="1:10" x14ac:dyDescent="0.2">
      <c r="A540" s="1" t="s">
        <v>861</v>
      </c>
      <c r="B540" s="6">
        <v>2.2000000000000002</v>
      </c>
      <c r="C540" s="6" t="s">
        <v>18</v>
      </c>
      <c r="D540" s="6" t="str">
        <f>"9/16"</f>
        <v>9/16</v>
      </c>
      <c r="E540" s="6">
        <v>0.7</v>
      </c>
      <c r="F540" s="6" t="s">
        <v>862</v>
      </c>
      <c r="G540" s="6" t="s">
        <v>863</v>
      </c>
      <c r="H540" t="s">
        <v>27</v>
      </c>
      <c r="I540" s="1" t="s">
        <v>677</v>
      </c>
      <c r="J540" s="6"/>
    </row>
    <row r="541" spans="1:10" ht="28.5" x14ac:dyDescent="0.2">
      <c r="A541" s="1" t="s">
        <v>937</v>
      </c>
      <c r="B541" s="6">
        <v>2.2000000000000002</v>
      </c>
      <c r="C541" s="6" t="s">
        <v>18</v>
      </c>
      <c r="D541" s="6" t="str">
        <f>"79/136"</f>
        <v>79/136</v>
      </c>
      <c r="E541" s="6">
        <v>0.5</v>
      </c>
      <c r="F541" s="6" t="s">
        <v>938</v>
      </c>
      <c r="G541" s="6" t="s">
        <v>939</v>
      </c>
      <c r="H541" t="s">
        <v>829</v>
      </c>
      <c r="I541" s="1" t="s">
        <v>361</v>
      </c>
      <c r="J541" s="6"/>
    </row>
    <row r="542" spans="1:10" x14ac:dyDescent="0.2">
      <c r="A542" s="1" t="s">
        <v>1215</v>
      </c>
      <c r="B542" s="6">
        <v>2.2000000000000002</v>
      </c>
      <c r="C542" s="6" t="s">
        <v>18</v>
      </c>
      <c r="D542" s="6" t="str">
        <f>"87/139"</f>
        <v>87/139</v>
      </c>
      <c r="E542" s="6">
        <v>0.8</v>
      </c>
      <c r="F542" s="6" t="s">
        <v>1216</v>
      </c>
      <c r="G542" s="6" t="s">
        <v>1217</v>
      </c>
      <c r="H542" t="s">
        <v>27</v>
      </c>
      <c r="I542" s="1" t="s">
        <v>677</v>
      </c>
      <c r="J542" s="6"/>
    </row>
    <row r="543" spans="1:10" x14ac:dyDescent="0.2">
      <c r="A543" s="1" t="s">
        <v>1260</v>
      </c>
      <c r="B543" s="6">
        <v>2.2000000000000002</v>
      </c>
      <c r="C543" s="6" t="s">
        <v>18</v>
      </c>
      <c r="D543" s="6" t="str">
        <f>"87/139"</f>
        <v>87/139</v>
      </c>
      <c r="E543" s="6">
        <v>0.9</v>
      </c>
      <c r="F543" s="6" t="s">
        <v>1261</v>
      </c>
      <c r="G543" s="6" t="s">
        <v>1262</v>
      </c>
      <c r="H543" t="s">
        <v>27</v>
      </c>
      <c r="I543" s="1" t="s">
        <v>677</v>
      </c>
      <c r="J543" s="6"/>
    </row>
    <row r="544" spans="1:10" ht="28.5" x14ac:dyDescent="0.2">
      <c r="A544" s="1" t="s">
        <v>1374</v>
      </c>
      <c r="B544" s="6">
        <v>2.2000000000000002</v>
      </c>
      <c r="C544" s="6" t="s">
        <v>24</v>
      </c>
      <c r="D544" s="6" t="str">
        <f>"14/34"</f>
        <v>14/34</v>
      </c>
      <c r="E544" s="6">
        <v>0.6</v>
      </c>
      <c r="F544" s="6" t="s">
        <v>1375</v>
      </c>
      <c r="G544" s="6" t="s">
        <v>1376</v>
      </c>
      <c r="H544" t="s">
        <v>27</v>
      </c>
      <c r="I544" s="1" t="s">
        <v>892</v>
      </c>
      <c r="J544" s="6"/>
    </row>
    <row r="545" spans="1:10" ht="28.5" x14ac:dyDescent="0.2">
      <c r="A545" s="1" t="s">
        <v>1525</v>
      </c>
      <c r="B545" s="6">
        <v>2.2000000000000002</v>
      </c>
      <c r="C545" s="6" t="s">
        <v>24</v>
      </c>
      <c r="D545" s="6" t="str">
        <f>"8/16"</f>
        <v>8/16</v>
      </c>
      <c r="E545" s="6">
        <v>0.7</v>
      </c>
      <c r="F545" s="6" t="s">
        <v>1526</v>
      </c>
      <c r="G545" s="6" t="s">
        <v>1527</v>
      </c>
      <c r="H545" t="s">
        <v>21</v>
      </c>
      <c r="I545" s="1" t="s">
        <v>1528</v>
      </c>
      <c r="J545" s="6"/>
    </row>
    <row r="546" spans="1:10" ht="28.5" x14ac:dyDescent="0.2">
      <c r="A546" s="1" t="s">
        <v>1988</v>
      </c>
      <c r="B546" s="6">
        <v>2.2000000000000002</v>
      </c>
      <c r="C546" s="6" t="s">
        <v>18</v>
      </c>
      <c r="D546" s="6" t="str">
        <f>"174/275"</f>
        <v>174/275</v>
      </c>
      <c r="E546" s="6">
        <v>0.5</v>
      </c>
      <c r="F546" s="6" t="s">
        <v>1989</v>
      </c>
      <c r="G546" s="6" t="s">
        <v>1990</v>
      </c>
      <c r="H546" t="s">
        <v>27</v>
      </c>
      <c r="I546" s="1" t="s">
        <v>512</v>
      </c>
      <c r="J546" s="6"/>
    </row>
    <row r="547" spans="1:10" ht="28.5" x14ac:dyDescent="0.2">
      <c r="A547" s="1" t="s">
        <v>2018</v>
      </c>
      <c r="B547" s="6">
        <v>2.2000000000000002</v>
      </c>
      <c r="C547" s="6" t="s">
        <v>18</v>
      </c>
      <c r="D547" s="6" t="str">
        <f>"174/275"</f>
        <v>174/275</v>
      </c>
      <c r="E547" s="6">
        <v>0.3</v>
      </c>
      <c r="F547" s="6" t="s">
        <v>2019</v>
      </c>
      <c r="G547" s="6" t="s">
        <v>2020</v>
      </c>
      <c r="H547" t="s">
        <v>27</v>
      </c>
      <c r="I547" s="1" t="s">
        <v>512</v>
      </c>
      <c r="J547" s="6"/>
    </row>
    <row r="548" spans="1:10" x14ac:dyDescent="0.2">
      <c r="A548" s="1" t="s">
        <v>2131</v>
      </c>
      <c r="B548" s="6">
        <v>2.2000000000000002</v>
      </c>
      <c r="C548" s="6" t="s">
        <v>18</v>
      </c>
      <c r="D548" s="6" t="str">
        <f>"38/63"</f>
        <v>38/63</v>
      </c>
      <c r="E548" s="6">
        <v>0.6</v>
      </c>
      <c r="F548" s="6" t="s">
        <v>2132</v>
      </c>
      <c r="G548" s="6" t="s">
        <v>2133</v>
      </c>
      <c r="H548" t="s">
        <v>10</v>
      </c>
      <c r="I548" s="1" t="s">
        <v>133</v>
      </c>
      <c r="J548" s="6"/>
    </row>
    <row r="549" spans="1:10" x14ac:dyDescent="0.2">
      <c r="A549" s="1" t="s">
        <v>2213</v>
      </c>
      <c r="B549" s="6">
        <v>2.2000000000000002</v>
      </c>
      <c r="C549" s="6" t="s">
        <v>18</v>
      </c>
      <c r="D549" s="6" t="str">
        <f>"79/136"</f>
        <v>79/136</v>
      </c>
      <c r="E549" s="6">
        <v>0.5</v>
      </c>
      <c r="F549" s="6" t="s">
        <v>2214</v>
      </c>
      <c r="G549" s="6" t="s">
        <v>2215</v>
      </c>
      <c r="H549" t="s">
        <v>15</v>
      </c>
      <c r="I549" s="1" t="s">
        <v>77</v>
      </c>
      <c r="J549" s="6"/>
    </row>
    <row r="550" spans="1:10" x14ac:dyDescent="0.2">
      <c r="A550" s="1" t="s">
        <v>2484</v>
      </c>
      <c r="B550" s="6">
        <v>2.2000000000000002</v>
      </c>
      <c r="C550" s="6" t="s">
        <v>7</v>
      </c>
      <c r="D550" s="6" t="str">
        <f>"49/267"</f>
        <v>49/267</v>
      </c>
      <c r="E550" s="6">
        <v>0.5</v>
      </c>
      <c r="F550" s="6" t="s">
        <v>2485</v>
      </c>
      <c r="G550" s="6" t="s">
        <v>2486</v>
      </c>
      <c r="H550" t="s">
        <v>27</v>
      </c>
      <c r="I550" s="1" t="s">
        <v>133</v>
      </c>
      <c r="J550" s="6"/>
    </row>
    <row r="551" spans="1:10" x14ac:dyDescent="0.2">
      <c r="A551" s="1" t="s">
        <v>2836</v>
      </c>
      <c r="B551" s="6">
        <v>2.2000000000000002</v>
      </c>
      <c r="C551" s="6" t="s">
        <v>18</v>
      </c>
      <c r="D551" s="6" t="str">
        <f>"83/137"</f>
        <v>83/137</v>
      </c>
      <c r="E551" s="6">
        <v>0.8</v>
      </c>
      <c r="F551" s="6" t="s">
        <v>2837</v>
      </c>
      <c r="G551" s="6" t="s">
        <v>2838</v>
      </c>
      <c r="H551" t="s">
        <v>51</v>
      </c>
      <c r="I551" s="1" t="s">
        <v>133</v>
      </c>
      <c r="J551" s="6"/>
    </row>
    <row r="552" spans="1:10" x14ac:dyDescent="0.2">
      <c r="A552" s="1" t="s">
        <v>66</v>
      </c>
      <c r="B552" s="6">
        <v>2.1</v>
      </c>
      <c r="C552" s="6" t="s">
        <v>18</v>
      </c>
      <c r="D552" s="6" t="str">
        <f>"82/136"</f>
        <v>82/136</v>
      </c>
      <c r="E552" s="6">
        <v>0.4</v>
      </c>
      <c r="F552" s="6" t="s">
        <v>67</v>
      </c>
      <c r="G552" s="6" t="s">
        <v>68</v>
      </c>
      <c r="H552" t="s">
        <v>27</v>
      </c>
      <c r="I552" s="1" t="s">
        <v>69</v>
      </c>
      <c r="J552" s="6"/>
    </row>
    <row r="553" spans="1:10" x14ac:dyDescent="0.2">
      <c r="A553" s="1" t="s">
        <v>286</v>
      </c>
      <c r="B553" s="6">
        <v>2.1</v>
      </c>
      <c r="C553" s="6" t="s">
        <v>18</v>
      </c>
      <c r="D553" s="6" t="str">
        <f>"9/16"</f>
        <v>9/16</v>
      </c>
      <c r="E553" s="6">
        <v>0.7</v>
      </c>
      <c r="F553" s="6" t="s">
        <v>287</v>
      </c>
      <c r="G553" s="6" t="s">
        <v>288</v>
      </c>
      <c r="H553" t="s">
        <v>15</v>
      </c>
      <c r="I553" s="1" t="s">
        <v>44</v>
      </c>
      <c r="J553" s="6"/>
    </row>
    <row r="554" spans="1:10" ht="28.5" x14ac:dyDescent="0.2">
      <c r="A554" s="1" t="s">
        <v>443</v>
      </c>
      <c r="B554" s="6">
        <v>2.1</v>
      </c>
      <c r="C554" s="6" t="s">
        <v>18</v>
      </c>
      <c r="D554" s="6" t="str">
        <f>"49/90"</f>
        <v>49/90</v>
      </c>
      <c r="E554" s="6">
        <v>0.4</v>
      </c>
      <c r="F554" s="6" t="s">
        <v>444</v>
      </c>
      <c r="G554" s="6" t="s">
        <v>445</v>
      </c>
      <c r="H554" t="s">
        <v>15</v>
      </c>
      <c r="I554" s="1" t="s">
        <v>36</v>
      </c>
      <c r="J554" s="6"/>
    </row>
    <row r="555" spans="1:10" x14ac:dyDescent="0.2">
      <c r="A555" s="1" t="s">
        <v>571</v>
      </c>
      <c r="B555" s="6">
        <v>2.1</v>
      </c>
      <c r="C555" s="6" t="s">
        <v>24</v>
      </c>
      <c r="D555" s="6" t="str">
        <f>"43/107"</f>
        <v>43/107</v>
      </c>
      <c r="E555" s="6">
        <v>0.5</v>
      </c>
      <c r="F555" s="6" t="s">
        <v>572</v>
      </c>
      <c r="G555" s="6" t="s">
        <v>573</v>
      </c>
      <c r="H555" t="s">
        <v>27</v>
      </c>
      <c r="I555" s="1" t="s">
        <v>133</v>
      </c>
      <c r="J555" s="6"/>
    </row>
    <row r="556" spans="1:10" x14ac:dyDescent="0.2">
      <c r="A556" s="1" t="s">
        <v>886</v>
      </c>
      <c r="B556" s="6">
        <v>2.1</v>
      </c>
      <c r="C556" s="6" t="s">
        <v>18</v>
      </c>
      <c r="D556" s="6" t="str">
        <f>"92/139"</f>
        <v>92/139</v>
      </c>
      <c r="E556" s="6">
        <v>0.8</v>
      </c>
      <c r="F556" s="6" t="s">
        <v>887</v>
      </c>
      <c r="G556" s="6" t="s">
        <v>888</v>
      </c>
      <c r="H556" t="s">
        <v>27</v>
      </c>
      <c r="I556" s="1" t="s">
        <v>677</v>
      </c>
      <c r="J556" s="6"/>
    </row>
    <row r="557" spans="1:10" ht="28.5" x14ac:dyDescent="0.2">
      <c r="A557" s="1" t="s">
        <v>889</v>
      </c>
      <c r="B557" s="6">
        <v>2.1</v>
      </c>
      <c r="C557" s="6" t="s">
        <v>18</v>
      </c>
      <c r="D557" s="6" t="str">
        <f>"82/136"</f>
        <v>82/136</v>
      </c>
      <c r="E557" s="6">
        <v>0.4</v>
      </c>
      <c r="F557" s="6" t="s">
        <v>890</v>
      </c>
      <c r="G557" s="6" t="s">
        <v>891</v>
      </c>
      <c r="H557" t="s">
        <v>27</v>
      </c>
      <c r="I557" s="1" t="s">
        <v>892</v>
      </c>
      <c r="J557" s="6"/>
    </row>
    <row r="558" spans="1:10" x14ac:dyDescent="0.2">
      <c r="A558" s="1" t="s">
        <v>899</v>
      </c>
      <c r="B558" s="6">
        <v>2.1</v>
      </c>
      <c r="C558" s="6" t="s">
        <v>18</v>
      </c>
      <c r="D558" s="6" t="str">
        <f>"82/136"</f>
        <v>82/136</v>
      </c>
      <c r="E558" s="6">
        <v>0.7</v>
      </c>
      <c r="F558" s="6" t="s">
        <v>900</v>
      </c>
      <c r="G558" s="6" t="s">
        <v>901</v>
      </c>
      <c r="H558" t="s">
        <v>27</v>
      </c>
      <c r="I558" s="1" t="s">
        <v>763</v>
      </c>
      <c r="J558" s="6"/>
    </row>
    <row r="559" spans="1:10" ht="28.5" x14ac:dyDescent="0.2">
      <c r="A559" s="1" t="s">
        <v>959</v>
      </c>
      <c r="B559" s="6">
        <v>2.1</v>
      </c>
      <c r="C559" s="6" t="s">
        <v>18</v>
      </c>
      <c r="D559" s="6" t="str">
        <f>"52/86"</f>
        <v>52/86</v>
      </c>
      <c r="E559" s="6">
        <v>0.2</v>
      </c>
      <c r="F559" s="6" t="s">
        <v>960</v>
      </c>
      <c r="G559" s="6" t="s">
        <v>960</v>
      </c>
      <c r="H559" t="s">
        <v>51</v>
      </c>
      <c r="I559" s="1" t="s">
        <v>961</v>
      </c>
      <c r="J559" s="6"/>
    </row>
    <row r="560" spans="1:10" x14ac:dyDescent="0.2">
      <c r="A560" s="1" t="s">
        <v>1139</v>
      </c>
      <c r="B560" s="6">
        <v>2.1</v>
      </c>
      <c r="C560" s="6" t="s">
        <v>18</v>
      </c>
      <c r="D560" s="6" t="str">
        <f>"99/160"</f>
        <v>99/160</v>
      </c>
      <c r="E560" s="6">
        <v>0.4</v>
      </c>
      <c r="F560" s="6" t="s">
        <v>1140</v>
      </c>
      <c r="G560" s="6" t="s">
        <v>1141</v>
      </c>
      <c r="H560" t="s">
        <v>27</v>
      </c>
      <c r="I560" s="1" t="s">
        <v>1019</v>
      </c>
      <c r="J560" s="6"/>
    </row>
    <row r="561" spans="1:10" x14ac:dyDescent="0.2">
      <c r="A561" s="1" t="s">
        <v>1316</v>
      </c>
      <c r="B561" s="6">
        <v>2.1</v>
      </c>
      <c r="C561" s="6" t="s">
        <v>18</v>
      </c>
      <c r="D561" s="6" t="str">
        <f>"99/160"</f>
        <v>99/160</v>
      </c>
      <c r="E561" s="6">
        <v>0.5</v>
      </c>
      <c r="F561" s="6" t="s">
        <v>1317</v>
      </c>
      <c r="G561" s="6" t="s">
        <v>1318</v>
      </c>
      <c r="H561" t="s">
        <v>27</v>
      </c>
      <c r="I561" s="1" t="s">
        <v>133</v>
      </c>
      <c r="J561" s="6"/>
    </row>
    <row r="562" spans="1:10" x14ac:dyDescent="0.2">
      <c r="A562" s="1" t="s">
        <v>1642</v>
      </c>
      <c r="B562" s="6">
        <v>2.1</v>
      </c>
      <c r="C562" s="6" t="s">
        <v>18</v>
      </c>
      <c r="D562" s="6" t="str">
        <f>"40/65"</f>
        <v>40/65</v>
      </c>
      <c r="E562" s="6">
        <v>0.3</v>
      </c>
      <c r="F562" s="6" t="s">
        <v>1643</v>
      </c>
      <c r="G562" s="6" t="s">
        <v>1644</v>
      </c>
      <c r="H562" t="s">
        <v>15</v>
      </c>
      <c r="I562" s="1" t="s">
        <v>44</v>
      </c>
      <c r="J562" s="6"/>
    </row>
    <row r="563" spans="1:10" x14ac:dyDescent="0.2">
      <c r="A563" s="1" t="s">
        <v>1663</v>
      </c>
      <c r="B563" s="6">
        <v>2.1</v>
      </c>
      <c r="C563" s="6" t="s">
        <v>18</v>
      </c>
      <c r="D563" s="6" t="str">
        <f>"179/275"</f>
        <v>179/275</v>
      </c>
      <c r="E563" s="6">
        <v>0.7</v>
      </c>
      <c r="F563" s="6" t="s">
        <v>1664</v>
      </c>
      <c r="G563" s="6" t="s">
        <v>1665</v>
      </c>
      <c r="H563" t="s">
        <v>15</v>
      </c>
      <c r="I563" s="1" t="s">
        <v>16</v>
      </c>
      <c r="J563" s="6"/>
    </row>
    <row r="564" spans="1:10" x14ac:dyDescent="0.2">
      <c r="A564" s="1" t="s">
        <v>1666</v>
      </c>
      <c r="B564" s="6">
        <v>2.1</v>
      </c>
      <c r="C564" s="6" t="s">
        <v>18</v>
      </c>
      <c r="D564" s="6" t="str">
        <f>"11/20"</f>
        <v>11/20</v>
      </c>
      <c r="E564" s="6">
        <v>1</v>
      </c>
      <c r="F564" s="6" t="s">
        <v>1667</v>
      </c>
      <c r="G564" s="6" t="s">
        <v>1668</v>
      </c>
      <c r="H564" t="s">
        <v>27</v>
      </c>
      <c r="I564" s="1" t="s">
        <v>69</v>
      </c>
      <c r="J564" s="6"/>
    </row>
    <row r="565" spans="1:10" ht="28.5" x14ac:dyDescent="0.2">
      <c r="A565" s="1" t="s">
        <v>1961</v>
      </c>
      <c r="B565" s="6">
        <v>2.1</v>
      </c>
      <c r="C565" s="6" t="s">
        <v>18</v>
      </c>
      <c r="D565" s="6" t="str">
        <f>"179/275"</f>
        <v>179/275</v>
      </c>
      <c r="E565" s="6">
        <v>0.3</v>
      </c>
      <c r="F565" s="6" t="s">
        <v>1962</v>
      </c>
      <c r="G565" s="6" t="s">
        <v>1963</v>
      </c>
      <c r="H565" t="s">
        <v>27</v>
      </c>
      <c r="I565" s="1" t="s">
        <v>512</v>
      </c>
      <c r="J565" s="6"/>
    </row>
    <row r="566" spans="1:10" ht="28.5" x14ac:dyDescent="0.2">
      <c r="A566" s="1" t="s">
        <v>2082</v>
      </c>
      <c r="B566" s="6">
        <v>2.1</v>
      </c>
      <c r="C566" s="6" t="s">
        <v>18</v>
      </c>
      <c r="D566" s="6" t="str">
        <f>"179/275"</f>
        <v>179/275</v>
      </c>
      <c r="E566" s="6">
        <v>0.5</v>
      </c>
      <c r="F566" s="6" t="s">
        <v>2083</v>
      </c>
      <c r="G566" s="6" t="s">
        <v>2084</v>
      </c>
      <c r="H566" t="s">
        <v>27</v>
      </c>
      <c r="I566" s="1" t="s">
        <v>512</v>
      </c>
      <c r="J566" s="6"/>
    </row>
    <row r="567" spans="1:10" x14ac:dyDescent="0.2">
      <c r="A567" s="1" t="s">
        <v>2141</v>
      </c>
      <c r="B567" s="6">
        <v>2.1</v>
      </c>
      <c r="C567" s="6" t="s">
        <v>54</v>
      </c>
      <c r="D567" s="6" t="str">
        <f>"32/41"</f>
        <v>32/41</v>
      </c>
      <c r="E567" s="6">
        <v>0.6</v>
      </c>
      <c r="F567" s="6" t="s">
        <v>2142</v>
      </c>
      <c r="G567" s="6" t="s">
        <v>2143</v>
      </c>
      <c r="H567" t="s">
        <v>15</v>
      </c>
      <c r="I567" s="1" t="s">
        <v>248</v>
      </c>
      <c r="J567" s="6"/>
    </row>
    <row r="568" spans="1:10" x14ac:dyDescent="0.2">
      <c r="A568" s="1" t="s">
        <v>2264</v>
      </c>
      <c r="B568" s="6">
        <v>2.1</v>
      </c>
      <c r="C568" s="6" t="s">
        <v>18</v>
      </c>
      <c r="D568" s="6" t="str">
        <f>"92/139"</f>
        <v>92/139</v>
      </c>
      <c r="E568" s="6">
        <v>1.1000000000000001</v>
      </c>
      <c r="F568" s="6" t="s">
        <v>2265</v>
      </c>
      <c r="G568" s="6" t="s">
        <v>2266</v>
      </c>
      <c r="H568" t="s">
        <v>319</v>
      </c>
      <c r="I568" s="1" t="s">
        <v>44</v>
      </c>
      <c r="J568" s="6"/>
    </row>
    <row r="569" spans="1:10" ht="28.5" x14ac:dyDescent="0.2">
      <c r="A569" s="1" t="s">
        <v>2778</v>
      </c>
      <c r="B569" s="6">
        <v>2.1</v>
      </c>
      <c r="C569" s="6" t="s">
        <v>18</v>
      </c>
      <c r="D569" s="6" t="str">
        <f>"49/90"</f>
        <v>49/90</v>
      </c>
      <c r="E569" s="6">
        <v>0.4</v>
      </c>
      <c r="F569" s="6" t="s">
        <v>2779</v>
      </c>
      <c r="G569" s="6" t="s">
        <v>2780</v>
      </c>
      <c r="H569" t="s">
        <v>27</v>
      </c>
      <c r="I569" s="1" t="s">
        <v>338</v>
      </c>
      <c r="J569" s="6"/>
    </row>
    <row r="570" spans="1:10" x14ac:dyDescent="0.2">
      <c r="A570" s="1" t="s">
        <v>2804</v>
      </c>
      <c r="B570" s="6">
        <v>2.1</v>
      </c>
      <c r="C570" s="6" t="s">
        <v>18</v>
      </c>
      <c r="D570" s="6" t="str">
        <f>"82/136"</f>
        <v>82/136</v>
      </c>
      <c r="E570" s="6">
        <v>0.5</v>
      </c>
      <c r="F570" s="6" t="s">
        <v>2805</v>
      </c>
      <c r="G570" s="6" t="s">
        <v>2806</v>
      </c>
      <c r="H570" t="s">
        <v>15</v>
      </c>
      <c r="I570" s="1" t="s">
        <v>36</v>
      </c>
      <c r="J570" s="6"/>
    </row>
    <row r="571" spans="1:10" x14ac:dyDescent="0.2">
      <c r="A571" s="1" t="s">
        <v>168</v>
      </c>
      <c r="B571" s="6">
        <v>2</v>
      </c>
      <c r="C571" s="6" t="s">
        <v>18</v>
      </c>
      <c r="D571" s="6" t="str">
        <f>"57/86"</f>
        <v>57/86</v>
      </c>
      <c r="E571" s="6">
        <v>0</v>
      </c>
      <c r="F571" s="6" t="s">
        <v>169</v>
      </c>
      <c r="G571" s="6" t="s">
        <v>170</v>
      </c>
      <c r="H571" t="s">
        <v>27</v>
      </c>
      <c r="I571" s="1" t="s">
        <v>16</v>
      </c>
      <c r="J571" s="6"/>
    </row>
    <row r="572" spans="1:10" x14ac:dyDescent="0.2">
      <c r="A572" s="1" t="s">
        <v>245</v>
      </c>
      <c r="B572" s="6">
        <v>2</v>
      </c>
      <c r="C572" s="6" t="s">
        <v>24</v>
      </c>
      <c r="D572" s="6" t="str">
        <f>"38/79"</f>
        <v>38/79</v>
      </c>
      <c r="E572" s="6">
        <v>0.5</v>
      </c>
      <c r="F572" s="6" t="s">
        <v>246</v>
      </c>
      <c r="G572" s="6" t="s">
        <v>247</v>
      </c>
      <c r="H572" t="s">
        <v>15</v>
      </c>
      <c r="I572" s="1" t="s">
        <v>248</v>
      </c>
      <c r="J572" s="6"/>
    </row>
    <row r="573" spans="1:10" x14ac:dyDescent="0.2">
      <c r="A573" s="1" t="s">
        <v>395</v>
      </c>
      <c r="B573" s="6">
        <v>2</v>
      </c>
      <c r="C573" s="6" t="s">
        <v>24</v>
      </c>
      <c r="D573" s="6" t="str">
        <f>"34/125"</f>
        <v>34/125</v>
      </c>
      <c r="E573" s="6">
        <v>0.2</v>
      </c>
      <c r="F573" s="6" t="s">
        <v>396</v>
      </c>
      <c r="G573" s="6" t="s">
        <v>397</v>
      </c>
      <c r="H573" t="s">
        <v>27</v>
      </c>
      <c r="I573" s="1" t="s">
        <v>69</v>
      </c>
      <c r="J573" s="6"/>
    </row>
    <row r="574" spans="1:10" ht="28.5" x14ac:dyDescent="0.2">
      <c r="A574" s="1" t="s">
        <v>452</v>
      </c>
      <c r="B574" s="6">
        <v>2</v>
      </c>
      <c r="C574" s="6" t="s">
        <v>18</v>
      </c>
      <c r="D574" s="6" t="str">
        <f>"87/136"</f>
        <v>87/136</v>
      </c>
      <c r="E574" s="6">
        <v>0.2</v>
      </c>
      <c r="F574" s="6" t="s">
        <v>453</v>
      </c>
      <c r="G574" s="6" t="s">
        <v>454</v>
      </c>
      <c r="H574" t="s">
        <v>15</v>
      </c>
      <c r="I574" s="1" t="s">
        <v>36</v>
      </c>
      <c r="J574" s="6"/>
    </row>
    <row r="575" spans="1:10" ht="28.5" x14ac:dyDescent="0.2">
      <c r="A575" s="1" t="s">
        <v>464</v>
      </c>
      <c r="B575" s="6">
        <v>2</v>
      </c>
      <c r="C575" s="6" t="s">
        <v>18</v>
      </c>
      <c r="D575" s="6" t="str">
        <f>"87/136"</f>
        <v>87/136</v>
      </c>
      <c r="E575" s="6">
        <v>0.3</v>
      </c>
      <c r="F575" s="6" t="s">
        <v>465</v>
      </c>
      <c r="G575" s="6" t="s">
        <v>466</v>
      </c>
      <c r="H575" t="s">
        <v>15</v>
      </c>
      <c r="I575" s="1" t="s">
        <v>36</v>
      </c>
      <c r="J575" s="6"/>
    </row>
    <row r="576" spans="1:10" ht="28.5" x14ac:dyDescent="0.2">
      <c r="A576" s="1" t="s">
        <v>473</v>
      </c>
      <c r="B576" s="6">
        <v>2</v>
      </c>
      <c r="C576" s="6" t="s">
        <v>18</v>
      </c>
      <c r="D576" s="6" t="str">
        <f>"87/136"</f>
        <v>87/136</v>
      </c>
      <c r="E576" s="6">
        <v>0.5</v>
      </c>
      <c r="F576" s="6" t="s">
        <v>474</v>
      </c>
      <c r="G576" s="6" t="s">
        <v>475</v>
      </c>
      <c r="H576" t="s">
        <v>15</v>
      </c>
      <c r="I576" s="1" t="s">
        <v>36</v>
      </c>
      <c r="J576" s="6"/>
    </row>
    <row r="577" spans="1:10" x14ac:dyDescent="0.2">
      <c r="A577" s="1" t="s">
        <v>525</v>
      </c>
      <c r="B577" s="6">
        <v>2</v>
      </c>
      <c r="C577" s="6" t="s">
        <v>18</v>
      </c>
      <c r="D577" s="6" t="str">
        <f>"10/16"</f>
        <v>10/16</v>
      </c>
      <c r="E577" s="6">
        <v>0.7</v>
      </c>
      <c r="F577" s="6" t="s">
        <v>526</v>
      </c>
      <c r="G577" s="6" t="s">
        <v>527</v>
      </c>
      <c r="H577" t="s">
        <v>528</v>
      </c>
      <c r="I577" s="1" t="s">
        <v>529</v>
      </c>
      <c r="J577" s="6"/>
    </row>
    <row r="578" spans="1:10" x14ac:dyDescent="0.2">
      <c r="A578" s="1" t="s">
        <v>617</v>
      </c>
      <c r="B578" s="6">
        <v>2</v>
      </c>
      <c r="C578" s="6" t="s">
        <v>18</v>
      </c>
      <c r="D578" s="6" t="str">
        <f>"89/137"</f>
        <v>89/137</v>
      </c>
      <c r="E578" s="6">
        <v>0.4</v>
      </c>
      <c r="F578" s="6" t="s">
        <v>618</v>
      </c>
      <c r="G578" s="6" t="s">
        <v>619</v>
      </c>
      <c r="H578" t="s">
        <v>27</v>
      </c>
      <c r="I578" s="1" t="s">
        <v>69</v>
      </c>
      <c r="J578" s="6"/>
    </row>
    <row r="579" spans="1:10" x14ac:dyDescent="0.2">
      <c r="A579" s="1" t="s">
        <v>681</v>
      </c>
      <c r="B579" s="6">
        <v>2</v>
      </c>
      <c r="C579" s="6" t="s">
        <v>18</v>
      </c>
      <c r="D579" s="6" t="str">
        <f>"89/137"</f>
        <v>89/137</v>
      </c>
      <c r="E579" s="6">
        <v>0.5</v>
      </c>
      <c r="F579" s="6" t="s">
        <v>682</v>
      </c>
      <c r="G579" s="6" t="s">
        <v>683</v>
      </c>
      <c r="H579" t="s">
        <v>102</v>
      </c>
      <c r="I579" s="1" t="s">
        <v>248</v>
      </c>
      <c r="J579" s="6"/>
    </row>
    <row r="580" spans="1:10" x14ac:dyDescent="0.2">
      <c r="A580" s="1" t="s">
        <v>774</v>
      </c>
      <c r="B580" s="6">
        <v>2</v>
      </c>
      <c r="C580" s="6" t="s">
        <v>18</v>
      </c>
      <c r="D580" s="6" t="str">
        <f>"43/65"</f>
        <v>43/65</v>
      </c>
      <c r="E580" s="6">
        <v>0.1</v>
      </c>
      <c r="F580" s="6" t="s">
        <v>775</v>
      </c>
      <c r="G580" s="6" t="s">
        <v>776</v>
      </c>
      <c r="H580" t="s">
        <v>15</v>
      </c>
      <c r="I580" s="1" t="s">
        <v>36</v>
      </c>
      <c r="J580" s="6"/>
    </row>
    <row r="581" spans="1:10" x14ac:dyDescent="0.2">
      <c r="A581" s="1" t="s">
        <v>1007</v>
      </c>
      <c r="B581" s="6">
        <v>2</v>
      </c>
      <c r="C581" s="6" t="s">
        <v>18</v>
      </c>
      <c r="D581" s="6" t="str">
        <f>"57/86"</f>
        <v>57/86</v>
      </c>
      <c r="E581" s="6">
        <v>0.2</v>
      </c>
      <c r="F581" s="6" t="s">
        <v>1008</v>
      </c>
      <c r="G581" s="6" t="s">
        <v>1009</v>
      </c>
      <c r="H581" t="s">
        <v>27</v>
      </c>
      <c r="I581" s="1" t="s">
        <v>133</v>
      </c>
      <c r="J581" s="6"/>
    </row>
    <row r="582" spans="1:10" x14ac:dyDescent="0.2">
      <c r="A582" s="1" t="s">
        <v>1039</v>
      </c>
      <c r="B582" s="6">
        <v>2</v>
      </c>
      <c r="C582" s="6" t="s">
        <v>18</v>
      </c>
      <c r="D582" s="6" t="str">
        <f>"94/139"</f>
        <v>94/139</v>
      </c>
      <c r="E582" s="6">
        <v>0.8</v>
      </c>
      <c r="F582" s="6" t="s">
        <v>1040</v>
      </c>
      <c r="G582" s="6" t="s">
        <v>1041</v>
      </c>
      <c r="H582" t="s">
        <v>27</v>
      </c>
      <c r="I582" s="1" t="s">
        <v>677</v>
      </c>
      <c r="J582" s="6"/>
    </row>
    <row r="583" spans="1:10" x14ac:dyDescent="0.2">
      <c r="A583" s="1" t="s">
        <v>1201</v>
      </c>
      <c r="B583" s="6">
        <v>2</v>
      </c>
      <c r="C583" s="6" t="s">
        <v>18</v>
      </c>
      <c r="D583" s="6" t="str">
        <f>"87/136"</f>
        <v>87/136</v>
      </c>
      <c r="E583" s="6">
        <v>0.8</v>
      </c>
      <c r="F583" s="6" t="s">
        <v>1202</v>
      </c>
      <c r="G583" s="6" t="s">
        <v>1203</v>
      </c>
      <c r="H583" t="s">
        <v>27</v>
      </c>
      <c r="I583" s="1" t="s">
        <v>763</v>
      </c>
      <c r="J583" s="6"/>
    </row>
    <row r="584" spans="1:10" x14ac:dyDescent="0.2">
      <c r="A584" s="1" t="s">
        <v>1292</v>
      </c>
      <c r="B584" s="6">
        <v>2</v>
      </c>
      <c r="C584" s="6" t="s">
        <v>18</v>
      </c>
      <c r="D584" s="6" t="str">
        <f>"53/90"</f>
        <v>53/90</v>
      </c>
      <c r="E584" s="6">
        <v>0.5</v>
      </c>
      <c r="F584" s="6" t="s">
        <v>1293</v>
      </c>
      <c r="G584" s="6" t="s">
        <v>1294</v>
      </c>
      <c r="H584" t="s">
        <v>102</v>
      </c>
      <c r="I584" s="1" t="s">
        <v>133</v>
      </c>
      <c r="J584" s="6"/>
    </row>
    <row r="585" spans="1:10" x14ac:dyDescent="0.2">
      <c r="A585" s="1" t="s">
        <v>1321</v>
      </c>
      <c r="B585" s="6">
        <v>2</v>
      </c>
      <c r="C585" s="6" t="s">
        <v>18</v>
      </c>
      <c r="D585" s="6" t="str">
        <f>"87/136"</f>
        <v>87/136</v>
      </c>
      <c r="E585" s="6">
        <v>0.9</v>
      </c>
      <c r="F585" s="6" t="s">
        <v>1322</v>
      </c>
      <c r="G585" s="6" t="s">
        <v>1323</v>
      </c>
      <c r="H585" t="s">
        <v>27</v>
      </c>
      <c r="I585" s="1" t="s">
        <v>763</v>
      </c>
      <c r="J585" s="6"/>
    </row>
    <row r="586" spans="1:10" x14ac:dyDescent="0.2">
      <c r="A586" s="1" t="s">
        <v>1324</v>
      </c>
      <c r="B586" s="6">
        <v>2</v>
      </c>
      <c r="C586" s="6" t="s">
        <v>18</v>
      </c>
      <c r="D586" s="6" t="str">
        <f>"136/202"</f>
        <v>136/202</v>
      </c>
      <c r="E586" s="6">
        <v>0.2</v>
      </c>
      <c r="F586" s="6" t="s">
        <v>1325</v>
      </c>
      <c r="G586" s="6" t="s">
        <v>1326</v>
      </c>
      <c r="H586" t="s">
        <v>27</v>
      </c>
      <c r="I586" s="1" t="s">
        <v>677</v>
      </c>
      <c r="J586" s="6"/>
    </row>
    <row r="587" spans="1:10" x14ac:dyDescent="0.2">
      <c r="A587" s="1" t="s">
        <v>1344</v>
      </c>
      <c r="B587" s="6">
        <v>2</v>
      </c>
      <c r="C587" s="6" t="s">
        <v>18</v>
      </c>
      <c r="D587" s="6" t="str">
        <f>"42/68"</f>
        <v>42/68</v>
      </c>
      <c r="E587" s="6">
        <v>0</v>
      </c>
      <c r="F587" s="6" t="s">
        <v>1345</v>
      </c>
      <c r="G587" s="6" t="s">
        <v>1346</v>
      </c>
      <c r="H587" t="s">
        <v>15</v>
      </c>
      <c r="I587" s="1" t="s">
        <v>36</v>
      </c>
      <c r="J587" s="6"/>
    </row>
    <row r="588" spans="1:10" x14ac:dyDescent="0.2">
      <c r="A588" s="1" t="s">
        <v>1804</v>
      </c>
      <c r="B588" s="6">
        <v>2</v>
      </c>
      <c r="C588" s="6" t="s">
        <v>18</v>
      </c>
      <c r="D588" s="6" t="str">
        <f>"187/275"</f>
        <v>187/275</v>
      </c>
      <c r="E588" s="6">
        <v>0.3</v>
      </c>
      <c r="F588" s="6" t="s">
        <v>1805</v>
      </c>
      <c r="G588" s="6" t="s">
        <v>1806</v>
      </c>
      <c r="H588" t="s">
        <v>15</v>
      </c>
      <c r="I588" s="1" t="s">
        <v>16</v>
      </c>
      <c r="J588" s="6"/>
    </row>
    <row r="589" spans="1:10" ht="28.5" x14ac:dyDescent="0.2">
      <c r="A589" s="1" t="s">
        <v>1970</v>
      </c>
      <c r="B589" s="6">
        <v>2</v>
      </c>
      <c r="C589" s="6" t="s">
        <v>18</v>
      </c>
      <c r="D589" s="6" t="str">
        <f>"108/160"</f>
        <v>108/160</v>
      </c>
      <c r="E589" s="6">
        <v>0.5</v>
      </c>
      <c r="F589" s="6" t="s">
        <v>1971</v>
      </c>
      <c r="G589" s="6" t="s">
        <v>1972</v>
      </c>
      <c r="H589" t="s">
        <v>27</v>
      </c>
      <c r="I589" s="1" t="s">
        <v>512</v>
      </c>
      <c r="J589" s="6"/>
    </row>
    <row r="590" spans="1:10" ht="28.5" x14ac:dyDescent="0.2">
      <c r="A590" s="1" t="s">
        <v>2106</v>
      </c>
      <c r="B590" s="6">
        <v>2</v>
      </c>
      <c r="C590" s="6" t="s">
        <v>18</v>
      </c>
      <c r="D590" s="6" t="str">
        <f>"37/54"</f>
        <v>37/54</v>
      </c>
      <c r="E590" s="6">
        <v>0.3</v>
      </c>
      <c r="F590" s="6" t="s">
        <v>60</v>
      </c>
      <c r="G590" s="6" t="s">
        <v>2107</v>
      </c>
      <c r="H590" t="s">
        <v>119</v>
      </c>
      <c r="I590" s="1" t="s">
        <v>2108</v>
      </c>
      <c r="J590" s="6"/>
    </row>
    <row r="591" spans="1:10" x14ac:dyDescent="0.2">
      <c r="A591" s="1" t="s">
        <v>2429</v>
      </c>
      <c r="B591" s="6">
        <v>2</v>
      </c>
      <c r="C591" s="6" t="s">
        <v>24</v>
      </c>
      <c r="D591" s="6" t="str">
        <f>"68/267"</f>
        <v>68/267</v>
      </c>
      <c r="E591" s="6">
        <v>0.7</v>
      </c>
      <c r="F591" s="6" t="s">
        <v>2430</v>
      </c>
      <c r="G591" s="6" t="s">
        <v>2431</v>
      </c>
      <c r="H591" t="s">
        <v>27</v>
      </c>
      <c r="I591" s="1" t="s">
        <v>133</v>
      </c>
      <c r="J591" s="6"/>
    </row>
    <row r="592" spans="1:10" x14ac:dyDescent="0.2">
      <c r="A592" s="1" t="s">
        <v>2820</v>
      </c>
      <c r="B592" s="6">
        <v>2</v>
      </c>
      <c r="C592" s="6" t="s">
        <v>54</v>
      </c>
      <c r="D592" s="6" t="str">
        <f>"26/30"</f>
        <v>26/30</v>
      </c>
      <c r="E592" s="6">
        <v>0.3</v>
      </c>
      <c r="F592" s="6" t="s">
        <v>2821</v>
      </c>
      <c r="G592" s="6" t="s">
        <v>2822</v>
      </c>
      <c r="H592" t="s">
        <v>15</v>
      </c>
      <c r="I592" s="1" t="s">
        <v>44</v>
      </c>
      <c r="J592" s="6"/>
    </row>
    <row r="593" spans="1:10" x14ac:dyDescent="0.2">
      <c r="A593" s="1" t="s">
        <v>2856</v>
      </c>
      <c r="B593" s="6">
        <v>2</v>
      </c>
      <c r="C593" s="6" t="s">
        <v>18</v>
      </c>
      <c r="D593" s="6" t="str">
        <f>"57/86"</f>
        <v>57/86</v>
      </c>
      <c r="E593" s="6">
        <v>0.3</v>
      </c>
      <c r="F593" s="6" t="s">
        <v>2857</v>
      </c>
      <c r="G593" s="6" t="s">
        <v>2858</v>
      </c>
      <c r="H593" t="s">
        <v>10</v>
      </c>
      <c r="I593" s="1" t="s">
        <v>361</v>
      </c>
      <c r="J593" s="6"/>
    </row>
    <row r="594" spans="1:10" ht="28.5" x14ac:dyDescent="0.2">
      <c r="A594" s="1" t="s">
        <v>125</v>
      </c>
      <c r="B594" s="6">
        <v>1.9</v>
      </c>
      <c r="C594" s="6" t="s">
        <v>18</v>
      </c>
      <c r="D594" s="6" t="str">
        <f>"193/275"</f>
        <v>193/275</v>
      </c>
      <c r="E594" s="6">
        <v>0.3</v>
      </c>
      <c r="F594" s="6" t="s">
        <v>126</v>
      </c>
      <c r="G594" s="6" t="s">
        <v>127</v>
      </c>
      <c r="H594" t="s">
        <v>119</v>
      </c>
      <c r="I594" s="1" t="s">
        <v>128</v>
      </c>
      <c r="J594" s="6"/>
    </row>
    <row r="595" spans="1:10" x14ac:dyDescent="0.2">
      <c r="A595" s="1" t="s">
        <v>314</v>
      </c>
      <c r="B595" s="6">
        <v>1.9</v>
      </c>
      <c r="C595" s="6" t="s">
        <v>18</v>
      </c>
      <c r="D595" s="6" t="str">
        <f>"45/68"</f>
        <v>45/68</v>
      </c>
      <c r="E595" s="6">
        <v>0.3</v>
      </c>
      <c r="F595" s="6" t="s">
        <v>315</v>
      </c>
      <c r="G595" s="6" t="s">
        <v>316</v>
      </c>
      <c r="H595" t="s">
        <v>27</v>
      </c>
      <c r="I595" s="1" t="s">
        <v>69</v>
      </c>
      <c r="J595" s="6"/>
    </row>
    <row r="596" spans="1:10" x14ac:dyDescent="0.2">
      <c r="A596" s="1" t="s">
        <v>760</v>
      </c>
      <c r="B596" s="6">
        <v>1.9</v>
      </c>
      <c r="C596" s="6" t="s">
        <v>18</v>
      </c>
      <c r="D596" s="6" t="str">
        <f>"92/136"</f>
        <v>92/136</v>
      </c>
      <c r="E596" s="6">
        <v>1.2</v>
      </c>
      <c r="F596" s="6" t="s">
        <v>761</v>
      </c>
      <c r="G596" s="6" t="s">
        <v>762</v>
      </c>
      <c r="H596" t="s">
        <v>27</v>
      </c>
      <c r="I596" s="1" t="s">
        <v>763</v>
      </c>
      <c r="J596" s="6"/>
    </row>
    <row r="597" spans="1:10" x14ac:dyDescent="0.2">
      <c r="A597" s="1" t="s">
        <v>813</v>
      </c>
      <c r="B597" s="6">
        <v>1.9</v>
      </c>
      <c r="C597" s="6" t="s">
        <v>18</v>
      </c>
      <c r="D597" s="6" t="str">
        <f>"92/142"</f>
        <v>92/142</v>
      </c>
      <c r="E597" s="6">
        <v>0.4</v>
      </c>
      <c r="F597" s="6" t="s">
        <v>814</v>
      </c>
      <c r="G597" s="6" t="s">
        <v>815</v>
      </c>
      <c r="H597" t="s">
        <v>15</v>
      </c>
      <c r="I597" s="1" t="s">
        <v>16</v>
      </c>
      <c r="J597" s="6"/>
    </row>
    <row r="598" spans="1:10" x14ac:dyDescent="0.2">
      <c r="A598" s="1" t="s">
        <v>965</v>
      </c>
      <c r="B598" s="6">
        <v>1.9</v>
      </c>
      <c r="C598" s="6" t="s">
        <v>18</v>
      </c>
      <c r="D598" s="6" t="str">
        <f>"98/139"</f>
        <v>98/139</v>
      </c>
      <c r="E598" s="6">
        <v>0.9</v>
      </c>
      <c r="F598" s="6" t="s">
        <v>966</v>
      </c>
      <c r="G598" s="6" t="s">
        <v>967</v>
      </c>
      <c r="H598" t="s">
        <v>27</v>
      </c>
      <c r="I598" s="1" t="s">
        <v>677</v>
      </c>
      <c r="J598" s="6"/>
    </row>
    <row r="599" spans="1:10" x14ac:dyDescent="0.2">
      <c r="A599" s="1" t="s">
        <v>996</v>
      </c>
      <c r="B599" s="6">
        <v>1.9</v>
      </c>
      <c r="C599" s="6" t="s">
        <v>18</v>
      </c>
      <c r="D599" s="6" t="str">
        <f>"44/63"</f>
        <v>44/63</v>
      </c>
      <c r="E599" s="6">
        <v>0.4</v>
      </c>
      <c r="F599" s="6" t="s">
        <v>997</v>
      </c>
      <c r="G599" s="6" t="s">
        <v>998</v>
      </c>
      <c r="H599" t="s">
        <v>27</v>
      </c>
      <c r="I599" s="1" t="s">
        <v>285</v>
      </c>
      <c r="J599" s="6"/>
    </row>
    <row r="600" spans="1:10" ht="28.5" x14ac:dyDescent="0.2">
      <c r="A600" s="1" t="s">
        <v>1023</v>
      </c>
      <c r="B600" s="6">
        <v>1.9</v>
      </c>
      <c r="C600" s="6" t="s">
        <v>24</v>
      </c>
      <c r="D600" s="6" t="str">
        <f>"16/34"</f>
        <v>16/34</v>
      </c>
      <c r="E600" s="6">
        <v>0.4</v>
      </c>
      <c r="F600" s="6" t="s">
        <v>1024</v>
      </c>
      <c r="G600" s="6" t="s">
        <v>1025</v>
      </c>
      <c r="H600" t="s">
        <v>27</v>
      </c>
      <c r="I600" s="1" t="s">
        <v>892</v>
      </c>
      <c r="J600" s="6"/>
    </row>
    <row r="601" spans="1:10" x14ac:dyDescent="0.2">
      <c r="A601" s="1" t="s">
        <v>1045</v>
      </c>
      <c r="B601" s="6">
        <v>1.9</v>
      </c>
      <c r="C601" s="6" t="s">
        <v>24</v>
      </c>
      <c r="D601" s="6" t="str">
        <f>"77/267"</f>
        <v>77/267</v>
      </c>
      <c r="E601" s="6">
        <v>0.2</v>
      </c>
      <c r="F601" s="6" t="s">
        <v>1046</v>
      </c>
      <c r="G601" s="6" t="s">
        <v>1047</v>
      </c>
      <c r="H601" t="s">
        <v>27</v>
      </c>
      <c r="I601" s="1" t="s">
        <v>73</v>
      </c>
      <c r="J601" s="6"/>
    </row>
    <row r="602" spans="1:10" x14ac:dyDescent="0.2">
      <c r="A602" s="1" t="s">
        <v>1289</v>
      </c>
      <c r="B602" s="6">
        <v>1.9</v>
      </c>
      <c r="C602" s="6" t="s">
        <v>18</v>
      </c>
      <c r="D602" s="6" t="str">
        <f>"193/275"</f>
        <v>193/275</v>
      </c>
      <c r="E602" s="6">
        <v>0.5</v>
      </c>
      <c r="F602" s="6" t="s">
        <v>1290</v>
      </c>
      <c r="G602" s="6" t="s">
        <v>1291</v>
      </c>
      <c r="H602" t="s">
        <v>21</v>
      </c>
      <c r="I602" s="1" t="s">
        <v>404</v>
      </c>
      <c r="J602" s="6"/>
    </row>
    <row r="603" spans="1:10" ht="28.5" x14ac:dyDescent="0.2">
      <c r="A603" s="1" t="s">
        <v>1491</v>
      </c>
      <c r="B603" s="6">
        <v>1.9</v>
      </c>
      <c r="C603" s="6" t="s">
        <v>18</v>
      </c>
      <c r="D603" s="6" t="str">
        <f>"92/136"</f>
        <v>92/136</v>
      </c>
      <c r="E603" s="6">
        <v>0.4</v>
      </c>
      <c r="F603" s="6" t="s">
        <v>1492</v>
      </c>
      <c r="G603" s="6" t="s">
        <v>1493</v>
      </c>
      <c r="H603" t="s">
        <v>21</v>
      </c>
      <c r="I603" s="1" t="s">
        <v>1490</v>
      </c>
      <c r="J603" s="6"/>
    </row>
    <row r="604" spans="1:10" x14ac:dyDescent="0.2">
      <c r="A604" s="1" t="s">
        <v>1497</v>
      </c>
      <c r="B604" s="6">
        <v>1.9</v>
      </c>
      <c r="C604" s="6" t="s">
        <v>54</v>
      </c>
      <c r="D604" s="6" t="str">
        <f>"34/41"</f>
        <v>34/41</v>
      </c>
      <c r="E604" s="6">
        <v>0.5</v>
      </c>
      <c r="F604" s="6" t="s">
        <v>1498</v>
      </c>
      <c r="G604" s="6" t="s">
        <v>1499</v>
      </c>
      <c r="H604" t="s">
        <v>15</v>
      </c>
      <c r="I604" s="1" t="s">
        <v>248</v>
      </c>
      <c r="J604" s="6"/>
    </row>
    <row r="605" spans="1:10" x14ac:dyDescent="0.2">
      <c r="A605" s="1" t="s">
        <v>1635</v>
      </c>
      <c r="B605" s="6">
        <v>1.9</v>
      </c>
      <c r="C605" s="6" t="s">
        <v>18</v>
      </c>
      <c r="D605" s="6" t="str">
        <f>"92/136"</f>
        <v>92/136</v>
      </c>
      <c r="E605" s="6">
        <v>0.2</v>
      </c>
      <c r="F605" s="6" t="s">
        <v>1636</v>
      </c>
      <c r="G605" s="6" t="s">
        <v>1637</v>
      </c>
      <c r="H605" t="s">
        <v>15</v>
      </c>
      <c r="I605" s="1" t="s">
        <v>44</v>
      </c>
      <c r="J605" s="6"/>
    </row>
    <row r="606" spans="1:10" x14ac:dyDescent="0.2">
      <c r="A606" s="1" t="s">
        <v>2275</v>
      </c>
      <c r="B606" s="6">
        <v>1.9</v>
      </c>
      <c r="C606" s="6" t="s">
        <v>18</v>
      </c>
      <c r="D606" s="6" t="str">
        <f>"193/275"</f>
        <v>193/275</v>
      </c>
      <c r="E606" s="6">
        <v>0.8</v>
      </c>
      <c r="F606" s="6" t="s">
        <v>2276</v>
      </c>
      <c r="G606" s="6" t="s">
        <v>2276</v>
      </c>
      <c r="H606" t="s">
        <v>10</v>
      </c>
      <c r="I606" s="1" t="s">
        <v>133</v>
      </c>
      <c r="J606" s="6"/>
    </row>
    <row r="607" spans="1:10" x14ac:dyDescent="0.2">
      <c r="A607" s="1" t="s">
        <v>2509</v>
      </c>
      <c r="B607" s="6">
        <v>1.9</v>
      </c>
      <c r="C607" s="6" t="s">
        <v>18</v>
      </c>
      <c r="D607" s="6" t="str">
        <f>"54/90"</f>
        <v>54/90</v>
      </c>
      <c r="E607" s="6">
        <v>0.5</v>
      </c>
      <c r="F607" s="6" t="s">
        <v>2510</v>
      </c>
      <c r="G607" s="6" t="s">
        <v>2511</v>
      </c>
      <c r="H607" t="s">
        <v>27</v>
      </c>
      <c r="I607" s="1" t="s">
        <v>69</v>
      </c>
      <c r="J607" s="6"/>
    </row>
    <row r="608" spans="1:10" x14ac:dyDescent="0.2">
      <c r="A608" s="1" t="s">
        <v>2648</v>
      </c>
      <c r="B608" s="6">
        <v>1.9</v>
      </c>
      <c r="C608" s="6" t="s">
        <v>18</v>
      </c>
      <c r="D608" s="6" t="str">
        <f>"46/65"</f>
        <v>46/65</v>
      </c>
      <c r="E608" s="6">
        <v>0.6</v>
      </c>
      <c r="F608" s="6" t="s">
        <v>2649</v>
      </c>
      <c r="G608" s="6" t="s">
        <v>2650</v>
      </c>
      <c r="H608" t="s">
        <v>123</v>
      </c>
      <c r="I608" s="1" t="s">
        <v>44</v>
      </c>
      <c r="J608" s="6"/>
    </row>
    <row r="609" spans="1:10" x14ac:dyDescent="0.2">
      <c r="A609" s="1" t="s">
        <v>2749</v>
      </c>
      <c r="B609" s="6">
        <v>1.9</v>
      </c>
      <c r="C609" s="6" t="s">
        <v>24</v>
      </c>
      <c r="D609" s="6" t="str">
        <f>"11/34"</f>
        <v>11/34</v>
      </c>
      <c r="E609" s="6">
        <v>0.5</v>
      </c>
      <c r="F609" s="6" t="s">
        <v>2750</v>
      </c>
      <c r="G609" s="6" t="s">
        <v>2751</v>
      </c>
      <c r="H609" t="s">
        <v>27</v>
      </c>
      <c r="I609" s="1" t="s">
        <v>40</v>
      </c>
      <c r="J609" s="6"/>
    </row>
    <row r="610" spans="1:10" x14ac:dyDescent="0.2">
      <c r="A610" s="1" t="s">
        <v>113</v>
      </c>
      <c r="B610" s="6">
        <v>1.8</v>
      </c>
      <c r="C610" s="6" t="s">
        <v>18</v>
      </c>
      <c r="D610" s="6" t="str">
        <f>"45/63"</f>
        <v>45/63</v>
      </c>
      <c r="E610" s="6">
        <v>0.3</v>
      </c>
      <c r="F610" s="6" t="s">
        <v>114</v>
      </c>
      <c r="G610" s="6" t="s">
        <v>115</v>
      </c>
      <c r="H610" t="s">
        <v>15</v>
      </c>
      <c r="I610" s="1" t="s">
        <v>36</v>
      </c>
      <c r="J610" s="6"/>
    </row>
    <row r="611" spans="1:10" x14ac:dyDescent="0.2">
      <c r="A611" s="1" t="s">
        <v>374</v>
      </c>
      <c r="B611" s="6">
        <v>1.8</v>
      </c>
      <c r="C611" s="6" t="s">
        <v>18</v>
      </c>
      <c r="D611" s="6" t="str">
        <f>"62/86"</f>
        <v>62/86</v>
      </c>
      <c r="E611" s="6">
        <v>1</v>
      </c>
      <c r="F611" s="6" t="s">
        <v>375</v>
      </c>
      <c r="G611" s="6" t="s">
        <v>376</v>
      </c>
      <c r="H611" t="s">
        <v>319</v>
      </c>
      <c r="I611" s="1" t="s">
        <v>320</v>
      </c>
      <c r="J611" s="6"/>
    </row>
    <row r="612" spans="1:10" ht="28.5" x14ac:dyDescent="0.2">
      <c r="A612" s="1" t="s">
        <v>446</v>
      </c>
      <c r="B612" s="6">
        <v>1.8</v>
      </c>
      <c r="C612" s="6" t="s">
        <v>18</v>
      </c>
      <c r="D612" s="6" t="str">
        <f>"11/16"</f>
        <v>11/16</v>
      </c>
      <c r="E612" s="6">
        <v>0.3</v>
      </c>
      <c r="F612" s="6" t="s">
        <v>447</v>
      </c>
      <c r="G612" s="6" t="s">
        <v>448</v>
      </c>
      <c r="H612" t="s">
        <v>15</v>
      </c>
      <c r="I612" s="1" t="s">
        <v>36</v>
      </c>
      <c r="J612" s="6"/>
    </row>
    <row r="613" spans="1:10" ht="28.5" x14ac:dyDescent="0.2">
      <c r="A613" s="1" t="s">
        <v>449</v>
      </c>
      <c r="B613" s="6">
        <v>1.8</v>
      </c>
      <c r="C613" s="6" t="s">
        <v>18</v>
      </c>
      <c r="D613" s="6" t="str">
        <f>"95/137"</f>
        <v>95/137</v>
      </c>
      <c r="E613" s="6">
        <v>0.2</v>
      </c>
      <c r="F613" s="6" t="s">
        <v>450</v>
      </c>
      <c r="G613" s="6" t="s">
        <v>451</v>
      </c>
      <c r="H613" t="s">
        <v>15</v>
      </c>
      <c r="I613" s="1" t="s">
        <v>36</v>
      </c>
      <c r="J613" s="6"/>
    </row>
    <row r="614" spans="1:10" ht="28.5" x14ac:dyDescent="0.2">
      <c r="A614" s="1" t="s">
        <v>458</v>
      </c>
      <c r="B614" s="6">
        <v>1.8</v>
      </c>
      <c r="C614" s="6" t="s">
        <v>54</v>
      </c>
      <c r="D614" s="6" t="str">
        <f>"77/96"</f>
        <v>77/96</v>
      </c>
      <c r="E614" s="6">
        <v>0.3</v>
      </c>
      <c r="F614" s="6" t="s">
        <v>459</v>
      </c>
      <c r="G614" s="6" t="s">
        <v>460</v>
      </c>
      <c r="H614" t="s">
        <v>15</v>
      </c>
      <c r="I614" s="1" t="s">
        <v>36</v>
      </c>
      <c r="J614" s="6"/>
    </row>
    <row r="615" spans="1:10" ht="28.5" x14ac:dyDescent="0.2">
      <c r="A615" s="1" t="s">
        <v>542</v>
      </c>
      <c r="B615" s="6">
        <v>1.8</v>
      </c>
      <c r="C615" s="6" t="s">
        <v>18</v>
      </c>
      <c r="D615" s="6" t="str">
        <f>"100/139"</f>
        <v>100/139</v>
      </c>
      <c r="E615" s="6">
        <v>0.8</v>
      </c>
      <c r="F615" s="6" t="s">
        <v>543</v>
      </c>
      <c r="G615" s="6" t="s">
        <v>60</v>
      </c>
      <c r="H615" t="s">
        <v>544</v>
      </c>
      <c r="I615" s="1" t="s">
        <v>545</v>
      </c>
      <c r="J615" s="6"/>
    </row>
    <row r="616" spans="1:10" x14ac:dyDescent="0.2">
      <c r="A616" s="1" t="s">
        <v>574</v>
      </c>
      <c r="B616" s="6">
        <v>1.8</v>
      </c>
      <c r="C616" s="6" t="s">
        <v>24</v>
      </c>
      <c r="D616" s="6" t="str">
        <f>"87/267"</f>
        <v>87/267</v>
      </c>
      <c r="E616" s="6">
        <v>0.6</v>
      </c>
      <c r="F616" s="6" t="s">
        <v>575</v>
      </c>
      <c r="G616" s="6" t="s">
        <v>576</v>
      </c>
      <c r="H616" t="s">
        <v>15</v>
      </c>
      <c r="I616" s="1" t="s">
        <v>16</v>
      </c>
      <c r="J616" s="6"/>
    </row>
    <row r="617" spans="1:10" x14ac:dyDescent="0.2">
      <c r="A617" s="1" t="s">
        <v>709</v>
      </c>
      <c r="B617" s="6">
        <v>1.8</v>
      </c>
      <c r="C617" s="6" t="s">
        <v>24</v>
      </c>
      <c r="D617" s="6" t="str">
        <f>"17/34"</f>
        <v>17/34</v>
      </c>
      <c r="E617" s="6">
        <v>0.5</v>
      </c>
      <c r="F617" s="6" t="s">
        <v>710</v>
      </c>
      <c r="G617" s="6" t="s">
        <v>711</v>
      </c>
      <c r="H617" t="s">
        <v>102</v>
      </c>
      <c r="I617" s="1" t="s">
        <v>133</v>
      </c>
      <c r="J617" s="6"/>
    </row>
    <row r="618" spans="1:10" x14ac:dyDescent="0.2">
      <c r="A618" s="1" t="s">
        <v>943</v>
      </c>
      <c r="B618" s="6">
        <v>1.8</v>
      </c>
      <c r="C618" s="6" t="s">
        <v>24</v>
      </c>
      <c r="D618" s="6" t="str">
        <f>"17/34"</f>
        <v>17/34</v>
      </c>
      <c r="E618" s="6">
        <v>0.3</v>
      </c>
      <c r="F618" s="6" t="s">
        <v>944</v>
      </c>
      <c r="G618" s="6" t="s">
        <v>945</v>
      </c>
      <c r="H618" t="s">
        <v>10</v>
      </c>
      <c r="I618" s="1" t="s">
        <v>361</v>
      </c>
      <c r="J618" s="6"/>
    </row>
    <row r="619" spans="1:10" ht="28.5" x14ac:dyDescent="0.2">
      <c r="A619" s="1" t="s">
        <v>986</v>
      </c>
      <c r="B619" s="6">
        <v>1.8</v>
      </c>
      <c r="C619" s="6" t="s">
        <v>18</v>
      </c>
      <c r="D619" s="6" t="str">
        <f>"200/275"</f>
        <v>200/275</v>
      </c>
      <c r="E619" s="6">
        <v>0.8</v>
      </c>
      <c r="F619" s="6" t="s">
        <v>987</v>
      </c>
      <c r="G619" s="6" t="s">
        <v>988</v>
      </c>
      <c r="H619" t="s">
        <v>27</v>
      </c>
      <c r="I619" s="1" t="s">
        <v>133</v>
      </c>
      <c r="J619" s="6"/>
    </row>
    <row r="620" spans="1:10" x14ac:dyDescent="0.2">
      <c r="A620" s="1" t="s">
        <v>1192</v>
      </c>
      <c r="B620" s="6">
        <v>1.8</v>
      </c>
      <c r="C620" s="6" t="s">
        <v>24</v>
      </c>
      <c r="D620" s="6" t="str">
        <f>"87/267"</f>
        <v>87/267</v>
      </c>
      <c r="E620" s="6">
        <v>0.3</v>
      </c>
      <c r="F620" s="6" t="s">
        <v>1193</v>
      </c>
      <c r="G620" s="6" t="s">
        <v>1194</v>
      </c>
      <c r="H620" t="s">
        <v>102</v>
      </c>
      <c r="I620" s="1" t="s">
        <v>133</v>
      </c>
      <c r="J620" s="6"/>
    </row>
    <row r="621" spans="1:10" x14ac:dyDescent="0.2">
      <c r="A621" s="1" t="s">
        <v>1263</v>
      </c>
      <c r="B621" s="6">
        <v>1.8</v>
      </c>
      <c r="C621" s="6" t="s">
        <v>18</v>
      </c>
      <c r="D621" s="6" t="str">
        <f>"200/275"</f>
        <v>200/275</v>
      </c>
      <c r="E621" s="6">
        <v>0.6</v>
      </c>
      <c r="F621" s="6" t="s">
        <v>1264</v>
      </c>
      <c r="G621" s="6" t="s">
        <v>1265</v>
      </c>
      <c r="H621" t="s">
        <v>102</v>
      </c>
      <c r="I621" s="1" t="s">
        <v>103</v>
      </c>
      <c r="J621" s="6"/>
    </row>
    <row r="622" spans="1:10" x14ac:dyDescent="0.2">
      <c r="A622" s="1" t="s">
        <v>1651</v>
      </c>
      <c r="B622" s="6">
        <v>1.8</v>
      </c>
      <c r="C622" s="6" t="s">
        <v>24</v>
      </c>
      <c r="D622" s="6" t="str">
        <f>"87/267"</f>
        <v>87/267</v>
      </c>
      <c r="E622" s="6">
        <v>0.4</v>
      </c>
      <c r="F622" s="6" t="s">
        <v>1652</v>
      </c>
      <c r="G622" s="6" t="s">
        <v>1653</v>
      </c>
      <c r="H622" t="s">
        <v>15</v>
      </c>
      <c r="I622" s="1" t="s">
        <v>44</v>
      </c>
      <c r="J622" s="6"/>
    </row>
    <row r="623" spans="1:10" x14ac:dyDescent="0.2">
      <c r="A623" s="1" t="s">
        <v>1715</v>
      </c>
      <c r="B623" s="6">
        <v>1.8</v>
      </c>
      <c r="C623" s="6" t="s">
        <v>18</v>
      </c>
      <c r="D623" s="6" t="str">
        <f>"55/107"</f>
        <v>55/107</v>
      </c>
      <c r="E623" s="6">
        <v>0.4</v>
      </c>
      <c r="F623" s="6" t="s">
        <v>1716</v>
      </c>
      <c r="G623" s="6" t="s">
        <v>1717</v>
      </c>
      <c r="H623" t="s">
        <v>15</v>
      </c>
      <c r="I623" s="1" t="s">
        <v>16</v>
      </c>
      <c r="J623" s="6"/>
    </row>
    <row r="624" spans="1:10" ht="28.5" x14ac:dyDescent="0.2">
      <c r="A624" s="1" t="s">
        <v>1763</v>
      </c>
      <c r="B624" s="6">
        <v>1.8</v>
      </c>
      <c r="C624" s="6" t="s">
        <v>54</v>
      </c>
      <c r="D624" s="6" t="str">
        <f>"42/50"</f>
        <v>42/50</v>
      </c>
      <c r="E624" s="6">
        <v>0.5</v>
      </c>
      <c r="F624" s="6" t="s">
        <v>1764</v>
      </c>
      <c r="G624" s="6" t="s">
        <v>1765</v>
      </c>
      <c r="H624" t="s">
        <v>15</v>
      </c>
      <c r="I624" s="1" t="s">
        <v>248</v>
      </c>
      <c r="J624" s="6"/>
    </row>
    <row r="625" spans="1:10" x14ac:dyDescent="0.2">
      <c r="A625" s="1" t="s">
        <v>2298</v>
      </c>
      <c r="B625" s="6">
        <v>1.8</v>
      </c>
      <c r="C625" s="6" t="s">
        <v>54</v>
      </c>
      <c r="D625" s="6" t="str">
        <f>"226/275"</f>
        <v>226/275</v>
      </c>
      <c r="E625" s="6">
        <v>0.3</v>
      </c>
      <c r="F625" s="6" t="s">
        <v>2299</v>
      </c>
      <c r="G625" s="6" t="s">
        <v>2300</v>
      </c>
      <c r="H625" t="s">
        <v>27</v>
      </c>
      <c r="I625" s="1" t="s">
        <v>258</v>
      </c>
      <c r="J625" s="6"/>
    </row>
    <row r="626" spans="1:10" x14ac:dyDescent="0.2">
      <c r="A626" s="1" t="s">
        <v>2399</v>
      </c>
      <c r="B626" s="6">
        <v>1.8</v>
      </c>
      <c r="C626" s="6" t="s">
        <v>18</v>
      </c>
      <c r="D626" s="6" t="str">
        <f>"200/275"</f>
        <v>200/275</v>
      </c>
      <c r="E626" s="6">
        <v>0.4</v>
      </c>
      <c r="F626" s="6" t="s">
        <v>2400</v>
      </c>
      <c r="G626" s="6" t="s">
        <v>2401</v>
      </c>
      <c r="H626" t="s">
        <v>10</v>
      </c>
      <c r="I626" s="1" t="s">
        <v>133</v>
      </c>
      <c r="J626" s="6"/>
    </row>
    <row r="627" spans="1:10" x14ac:dyDescent="0.2">
      <c r="A627" s="1" t="s">
        <v>2527</v>
      </c>
      <c r="B627" s="6">
        <v>1.8</v>
      </c>
      <c r="C627" s="6" t="s">
        <v>18</v>
      </c>
      <c r="D627" s="6" t="str">
        <f>"100/139"</f>
        <v>100/139</v>
      </c>
      <c r="E627" s="6">
        <v>0.6</v>
      </c>
      <c r="F627" s="6" t="s">
        <v>2528</v>
      </c>
      <c r="G627" s="6" t="s">
        <v>2529</v>
      </c>
      <c r="H627" t="s">
        <v>15</v>
      </c>
      <c r="I627" s="1" t="s">
        <v>44</v>
      </c>
      <c r="J627" s="6"/>
    </row>
    <row r="628" spans="1:10" ht="42.75" x14ac:dyDescent="0.2">
      <c r="A628" s="1" t="s">
        <v>2596</v>
      </c>
      <c r="B628" s="6">
        <v>1.8</v>
      </c>
      <c r="C628" s="6" t="s">
        <v>18</v>
      </c>
      <c r="D628" s="6" t="str">
        <f>"11/16"</f>
        <v>11/16</v>
      </c>
      <c r="E628" s="6">
        <v>1.2</v>
      </c>
      <c r="F628" s="6" t="s">
        <v>2597</v>
      </c>
      <c r="G628" s="6" t="s">
        <v>2598</v>
      </c>
      <c r="H628" t="s">
        <v>123</v>
      </c>
      <c r="I628" s="1" t="s">
        <v>124</v>
      </c>
      <c r="J628" s="6"/>
    </row>
    <row r="629" spans="1:10" x14ac:dyDescent="0.2">
      <c r="A629" s="1" t="s">
        <v>2814</v>
      </c>
      <c r="B629" s="6">
        <v>1.8</v>
      </c>
      <c r="C629" s="6" t="s">
        <v>18</v>
      </c>
      <c r="D629" s="6" t="str">
        <f>"46/68"</f>
        <v>46/68</v>
      </c>
      <c r="E629" s="6">
        <v>0.4</v>
      </c>
      <c r="F629" s="6" t="s">
        <v>2815</v>
      </c>
      <c r="G629" s="6" t="s">
        <v>2816</v>
      </c>
      <c r="H629" t="s">
        <v>27</v>
      </c>
      <c r="I629" s="1" t="s">
        <v>285</v>
      </c>
      <c r="J629" s="6"/>
    </row>
    <row r="630" spans="1:10" x14ac:dyDescent="0.2">
      <c r="A630" s="1" t="s">
        <v>2852</v>
      </c>
      <c r="B630" s="6">
        <v>1.8</v>
      </c>
      <c r="C630" s="6" t="s">
        <v>18</v>
      </c>
      <c r="D630" s="6" t="str">
        <f>"46/68"</f>
        <v>46/68</v>
      </c>
      <c r="E630" s="6">
        <v>0.3</v>
      </c>
      <c r="F630" s="6" t="s">
        <v>2853</v>
      </c>
      <c r="G630" s="6" t="s">
        <v>2854</v>
      </c>
      <c r="H630" t="s">
        <v>27</v>
      </c>
      <c r="I630" s="1" t="s">
        <v>2855</v>
      </c>
      <c r="J630" s="6"/>
    </row>
    <row r="631" spans="1:10" x14ac:dyDescent="0.2">
      <c r="A631" s="1" t="s">
        <v>84</v>
      </c>
      <c r="B631" s="6">
        <v>1.7</v>
      </c>
      <c r="C631" s="6" t="s">
        <v>18</v>
      </c>
      <c r="D631" s="6" t="str">
        <f>"104/139"</f>
        <v>104/139</v>
      </c>
      <c r="E631" s="6">
        <v>0.3</v>
      </c>
      <c r="F631" s="6" t="s">
        <v>85</v>
      </c>
      <c r="G631" s="6" t="s">
        <v>86</v>
      </c>
      <c r="H631" t="s">
        <v>27</v>
      </c>
      <c r="I631" s="1" t="s">
        <v>87</v>
      </c>
      <c r="J631" s="6"/>
    </row>
    <row r="632" spans="1:10" x14ac:dyDescent="0.2">
      <c r="A632" s="1" t="s">
        <v>104</v>
      </c>
      <c r="B632" s="6">
        <v>1.7</v>
      </c>
      <c r="C632" s="6" t="s">
        <v>54</v>
      </c>
      <c r="D632" s="6" t="str">
        <f>"31/40"</f>
        <v>31/40</v>
      </c>
      <c r="E632" s="6">
        <v>0.6</v>
      </c>
      <c r="F632" s="6" t="s">
        <v>105</v>
      </c>
      <c r="G632" s="6" t="s">
        <v>106</v>
      </c>
      <c r="H632" t="s">
        <v>107</v>
      </c>
      <c r="I632" s="1" t="s">
        <v>108</v>
      </c>
      <c r="J632" s="6"/>
    </row>
    <row r="633" spans="1:10" x14ac:dyDescent="0.2">
      <c r="A633" s="1" t="s">
        <v>129</v>
      </c>
      <c r="B633" s="6">
        <v>1.7</v>
      </c>
      <c r="C633" s="6" t="s">
        <v>54</v>
      </c>
      <c r="D633" s="6" t="str">
        <f>"65/86"</f>
        <v>65/86</v>
      </c>
      <c r="E633" s="6">
        <v>0.1</v>
      </c>
      <c r="F633" s="6" t="s">
        <v>130</v>
      </c>
      <c r="G633" s="6" t="s">
        <v>131</v>
      </c>
      <c r="H633" t="s">
        <v>132</v>
      </c>
      <c r="I633" s="1" t="s">
        <v>133</v>
      </c>
      <c r="J633" s="6"/>
    </row>
    <row r="634" spans="1:10" x14ac:dyDescent="0.2">
      <c r="A634" s="1" t="s">
        <v>148</v>
      </c>
      <c r="B634" s="6">
        <v>1.7</v>
      </c>
      <c r="C634" s="6" t="s">
        <v>54</v>
      </c>
      <c r="D634" s="6" t="str">
        <f>"49/63"</f>
        <v>49/63</v>
      </c>
      <c r="E634" s="6">
        <v>0.3</v>
      </c>
      <c r="F634" s="6" t="s">
        <v>149</v>
      </c>
      <c r="G634" s="6" t="s">
        <v>150</v>
      </c>
      <c r="H634" t="s">
        <v>151</v>
      </c>
      <c r="I634" s="1" t="s">
        <v>152</v>
      </c>
      <c r="J634" s="6"/>
    </row>
    <row r="635" spans="1:10" ht="28.5" x14ac:dyDescent="0.2">
      <c r="A635" s="1" t="s">
        <v>224</v>
      </c>
      <c r="B635" s="6">
        <v>1.7</v>
      </c>
      <c r="C635" s="6" t="s">
        <v>18</v>
      </c>
      <c r="D635" s="6" t="str">
        <f>"98/136"</f>
        <v>98/136</v>
      </c>
      <c r="E635" s="6">
        <v>0.3</v>
      </c>
      <c r="F635" s="6" t="s">
        <v>225</v>
      </c>
      <c r="G635" s="6" t="s">
        <v>60</v>
      </c>
      <c r="H635" t="s">
        <v>226</v>
      </c>
      <c r="I635" s="1" t="s">
        <v>227</v>
      </c>
      <c r="J635" s="6"/>
    </row>
    <row r="636" spans="1:10" ht="28.5" x14ac:dyDescent="0.2">
      <c r="A636" s="1" t="s">
        <v>470</v>
      </c>
      <c r="B636" s="6">
        <v>1.7</v>
      </c>
      <c r="C636" s="6" t="s">
        <v>18</v>
      </c>
      <c r="D636" s="6" t="str">
        <f>"98/136"</f>
        <v>98/136</v>
      </c>
      <c r="E636" s="6">
        <v>0.2</v>
      </c>
      <c r="F636" s="6" t="s">
        <v>471</v>
      </c>
      <c r="G636" s="6" t="s">
        <v>472</v>
      </c>
      <c r="H636" t="s">
        <v>15</v>
      </c>
      <c r="I636" s="1" t="s">
        <v>36</v>
      </c>
      <c r="J636" s="6"/>
    </row>
    <row r="637" spans="1:10" ht="28.5" x14ac:dyDescent="0.2">
      <c r="A637" s="1" t="s">
        <v>479</v>
      </c>
      <c r="B637" s="6">
        <v>1.7</v>
      </c>
      <c r="C637" s="6" t="s">
        <v>18</v>
      </c>
      <c r="D637" s="6" t="str">
        <f>"98/136"</f>
        <v>98/136</v>
      </c>
      <c r="E637" s="6">
        <v>0.2</v>
      </c>
      <c r="F637" s="6" t="s">
        <v>480</v>
      </c>
      <c r="G637" s="6" t="s">
        <v>481</v>
      </c>
      <c r="H637" t="s">
        <v>15</v>
      </c>
      <c r="I637" s="1" t="s">
        <v>36</v>
      </c>
      <c r="J637" s="6"/>
    </row>
    <row r="638" spans="1:10" x14ac:dyDescent="0.2">
      <c r="A638" s="1" t="s">
        <v>637</v>
      </c>
      <c r="B638" s="6">
        <v>1.7</v>
      </c>
      <c r="C638" s="6" t="s">
        <v>24</v>
      </c>
      <c r="D638" s="6" t="str">
        <f>"14/34"</f>
        <v>14/34</v>
      </c>
      <c r="E638" s="6">
        <v>0.5</v>
      </c>
      <c r="F638" s="6" t="s">
        <v>638</v>
      </c>
      <c r="G638" s="6" t="s">
        <v>639</v>
      </c>
      <c r="H638" t="s">
        <v>292</v>
      </c>
      <c r="I638" s="1" t="s">
        <v>293</v>
      </c>
      <c r="J638" s="6"/>
    </row>
    <row r="639" spans="1:10" x14ac:dyDescent="0.2">
      <c r="A639" s="1" t="s">
        <v>687</v>
      </c>
      <c r="B639" s="6">
        <v>1.7</v>
      </c>
      <c r="C639" s="6" t="s">
        <v>54</v>
      </c>
      <c r="D639" s="6" t="str">
        <f>"19/24"</f>
        <v>19/24</v>
      </c>
      <c r="E639" s="6">
        <v>0.7</v>
      </c>
      <c r="F639" s="6" t="s">
        <v>688</v>
      </c>
      <c r="G639" s="6" t="s">
        <v>689</v>
      </c>
      <c r="H639" t="s">
        <v>690</v>
      </c>
      <c r="I639" s="1" t="s">
        <v>691</v>
      </c>
      <c r="J639" s="6"/>
    </row>
    <row r="640" spans="1:10" ht="28.5" x14ac:dyDescent="0.2">
      <c r="A640" s="1" t="s">
        <v>872</v>
      </c>
      <c r="B640" s="6">
        <v>1.7</v>
      </c>
      <c r="C640" s="6" t="s">
        <v>18</v>
      </c>
      <c r="D640" s="6" t="str">
        <f>"19/31"</f>
        <v>19/31</v>
      </c>
      <c r="E640" s="6">
        <v>1.1000000000000001</v>
      </c>
      <c r="F640" s="6" t="s">
        <v>873</v>
      </c>
      <c r="G640" s="6" t="s">
        <v>874</v>
      </c>
      <c r="H640" t="s">
        <v>27</v>
      </c>
      <c r="I640" s="1" t="s">
        <v>763</v>
      </c>
      <c r="J640" s="6"/>
    </row>
    <row r="641" spans="1:10" x14ac:dyDescent="0.2">
      <c r="A641" s="1" t="s">
        <v>878</v>
      </c>
      <c r="B641" s="6">
        <v>1.7</v>
      </c>
      <c r="C641" s="6" t="s">
        <v>18</v>
      </c>
      <c r="D641" s="6" t="str">
        <f>"98/136"</f>
        <v>98/136</v>
      </c>
      <c r="E641" s="6">
        <v>0.6</v>
      </c>
      <c r="F641" s="6" t="s">
        <v>879</v>
      </c>
      <c r="G641" s="6" t="s">
        <v>880</v>
      </c>
      <c r="H641" t="s">
        <v>27</v>
      </c>
      <c r="I641" s="1" t="s">
        <v>763</v>
      </c>
      <c r="J641" s="6"/>
    </row>
    <row r="642" spans="1:10" x14ac:dyDescent="0.2">
      <c r="A642" s="1" t="s">
        <v>1094</v>
      </c>
      <c r="B642" s="6">
        <v>1.7</v>
      </c>
      <c r="C642" s="6" t="s">
        <v>18</v>
      </c>
      <c r="D642" s="6" t="str">
        <f>"99/137"</f>
        <v>99/137</v>
      </c>
      <c r="E642" s="6">
        <v>0.7</v>
      </c>
      <c r="F642" s="6" t="s">
        <v>1095</v>
      </c>
      <c r="G642" s="6" t="s">
        <v>1096</v>
      </c>
      <c r="H642" t="s">
        <v>932</v>
      </c>
      <c r="I642" s="1" t="s">
        <v>387</v>
      </c>
      <c r="J642" s="6"/>
    </row>
    <row r="643" spans="1:10" ht="28.5" x14ac:dyDescent="0.2">
      <c r="A643" s="1" t="s">
        <v>1301</v>
      </c>
      <c r="B643" s="6">
        <v>1.7</v>
      </c>
      <c r="C643" s="6" t="s">
        <v>18</v>
      </c>
      <c r="D643" s="6" t="str">
        <f>"46/63"</f>
        <v>46/63</v>
      </c>
      <c r="E643" s="6">
        <v>0.8</v>
      </c>
      <c r="F643" s="6" t="s">
        <v>1302</v>
      </c>
      <c r="G643" s="6" t="s">
        <v>1303</v>
      </c>
      <c r="H643" t="s">
        <v>27</v>
      </c>
      <c r="I643" s="1" t="s">
        <v>763</v>
      </c>
      <c r="J643" s="6"/>
    </row>
    <row r="644" spans="1:10" ht="28.5" x14ac:dyDescent="0.2">
      <c r="A644" s="1" t="s">
        <v>1358</v>
      </c>
      <c r="B644" s="6">
        <v>1.7</v>
      </c>
      <c r="C644" s="6" t="s">
        <v>54</v>
      </c>
      <c r="D644" s="6" t="str">
        <f>"56/70"</f>
        <v>56/70</v>
      </c>
      <c r="E644" s="6">
        <v>0.8</v>
      </c>
      <c r="F644" s="6" t="s">
        <v>1359</v>
      </c>
      <c r="G644" s="6" t="s">
        <v>1360</v>
      </c>
      <c r="H644" t="s">
        <v>27</v>
      </c>
      <c r="I644" s="1" t="s">
        <v>763</v>
      </c>
      <c r="J644" s="6"/>
    </row>
    <row r="645" spans="1:10" ht="28.5" x14ac:dyDescent="0.2">
      <c r="A645" s="1" t="s">
        <v>1411</v>
      </c>
      <c r="B645" s="6">
        <v>1.7</v>
      </c>
      <c r="C645" s="6" t="s">
        <v>18</v>
      </c>
      <c r="D645" s="6" t="str">
        <f>"104/139"</f>
        <v>104/139</v>
      </c>
      <c r="E645" s="6">
        <v>0.4</v>
      </c>
      <c r="F645" s="6" t="s">
        <v>1412</v>
      </c>
      <c r="G645" s="6" t="s">
        <v>1413</v>
      </c>
      <c r="H645" t="s">
        <v>299</v>
      </c>
      <c r="I645" s="1" t="s">
        <v>1410</v>
      </c>
      <c r="J645" s="6"/>
    </row>
    <row r="646" spans="1:10" ht="28.5" x14ac:dyDescent="0.2">
      <c r="A646" s="1" t="s">
        <v>1469</v>
      </c>
      <c r="B646" s="6">
        <v>1.7</v>
      </c>
      <c r="C646" s="6" t="s">
        <v>18</v>
      </c>
      <c r="D646" s="6" t="str">
        <f>"205/275"</f>
        <v>205/275</v>
      </c>
      <c r="E646" s="6">
        <v>0.2</v>
      </c>
      <c r="F646" s="6" t="s">
        <v>1470</v>
      </c>
      <c r="G646" s="6" t="s">
        <v>1471</v>
      </c>
      <c r="H646" t="s">
        <v>27</v>
      </c>
      <c r="I646" s="1" t="s">
        <v>16</v>
      </c>
      <c r="J646" s="6"/>
    </row>
    <row r="647" spans="1:10" ht="28.5" x14ac:dyDescent="0.2">
      <c r="A647" s="1" t="s">
        <v>1657</v>
      </c>
      <c r="B647" s="6">
        <v>1.7</v>
      </c>
      <c r="C647" s="6" t="s">
        <v>18</v>
      </c>
      <c r="D647" s="6" t="str">
        <f>"61/107"</f>
        <v>61/107</v>
      </c>
      <c r="E647" s="6">
        <v>0.5</v>
      </c>
      <c r="F647" s="6" t="s">
        <v>1658</v>
      </c>
      <c r="G647" s="6" t="s">
        <v>1659</v>
      </c>
      <c r="H647" t="s">
        <v>1342</v>
      </c>
      <c r="I647" s="1" t="s">
        <v>1343</v>
      </c>
      <c r="J647" s="6"/>
    </row>
    <row r="648" spans="1:10" x14ac:dyDescent="0.2">
      <c r="A648" s="1" t="s">
        <v>1669</v>
      </c>
      <c r="B648" s="6">
        <v>1.7</v>
      </c>
      <c r="C648" s="6" t="s">
        <v>18</v>
      </c>
      <c r="D648" s="6" t="str">
        <f>"104/139"</f>
        <v>104/139</v>
      </c>
      <c r="E648" s="6">
        <v>0.8</v>
      </c>
      <c r="F648" s="6" t="s">
        <v>1670</v>
      </c>
      <c r="G648" s="6" t="s">
        <v>1671</v>
      </c>
      <c r="H648" t="s">
        <v>299</v>
      </c>
      <c r="I648" s="1" t="s">
        <v>1410</v>
      </c>
      <c r="J648" s="6"/>
    </row>
    <row r="649" spans="1:10" x14ac:dyDescent="0.2">
      <c r="A649" s="1" t="s">
        <v>1698</v>
      </c>
      <c r="B649" s="6">
        <v>1.7</v>
      </c>
      <c r="C649" s="6" t="s">
        <v>18</v>
      </c>
      <c r="D649" s="6" t="str">
        <f>"19/34"</f>
        <v>19/34</v>
      </c>
      <c r="E649" s="6">
        <v>0.2</v>
      </c>
      <c r="F649" s="6" t="s">
        <v>1699</v>
      </c>
      <c r="G649" s="6" t="s">
        <v>1700</v>
      </c>
      <c r="H649" t="s">
        <v>27</v>
      </c>
      <c r="I649" s="1" t="s">
        <v>133</v>
      </c>
      <c r="J649" s="6"/>
    </row>
    <row r="650" spans="1:10" x14ac:dyDescent="0.2">
      <c r="A650" s="1" t="s">
        <v>1794</v>
      </c>
      <c r="B650" s="6">
        <v>1.7</v>
      </c>
      <c r="C650" s="6" t="s">
        <v>18</v>
      </c>
      <c r="D650" s="6" t="str">
        <f>"205/275"</f>
        <v>205/275</v>
      </c>
      <c r="E650" s="6">
        <v>0.2</v>
      </c>
      <c r="F650" s="6" t="s">
        <v>1795</v>
      </c>
      <c r="G650" s="6" t="s">
        <v>1796</v>
      </c>
      <c r="H650" t="s">
        <v>15</v>
      </c>
      <c r="I650" s="1" t="s">
        <v>16</v>
      </c>
      <c r="J650" s="6"/>
    </row>
    <row r="651" spans="1:10" x14ac:dyDescent="0.2">
      <c r="A651" s="1" t="s">
        <v>1810</v>
      </c>
      <c r="B651" s="6">
        <v>1.7</v>
      </c>
      <c r="C651" s="6" t="s">
        <v>18</v>
      </c>
      <c r="D651" s="6" t="str">
        <f>"205/275"</f>
        <v>205/275</v>
      </c>
      <c r="E651" s="6">
        <v>0.2</v>
      </c>
      <c r="F651" s="6" t="s">
        <v>1811</v>
      </c>
      <c r="G651" s="6" t="s">
        <v>1812</v>
      </c>
      <c r="H651" t="s">
        <v>15</v>
      </c>
      <c r="I651" s="1" t="s">
        <v>16</v>
      </c>
      <c r="J651" s="6"/>
    </row>
    <row r="652" spans="1:10" x14ac:dyDescent="0.2">
      <c r="A652" s="1" t="s">
        <v>1825</v>
      </c>
      <c r="B652" s="6">
        <v>1.7</v>
      </c>
      <c r="C652" s="6" t="s">
        <v>18</v>
      </c>
      <c r="D652" s="6" t="str">
        <f>"205/275"</f>
        <v>205/275</v>
      </c>
      <c r="E652" s="6">
        <v>0.2</v>
      </c>
      <c r="F652" s="6" t="s">
        <v>1826</v>
      </c>
      <c r="G652" s="6" t="s">
        <v>1827</v>
      </c>
      <c r="H652" t="s">
        <v>15</v>
      </c>
      <c r="I652" s="1" t="s">
        <v>16</v>
      </c>
      <c r="J652" s="6"/>
    </row>
    <row r="653" spans="1:10" ht="28.5" x14ac:dyDescent="0.2">
      <c r="A653" s="1" t="s">
        <v>1898</v>
      </c>
      <c r="B653" s="6">
        <v>1.7</v>
      </c>
      <c r="C653" s="6" t="s">
        <v>18</v>
      </c>
      <c r="D653" s="6" t="str">
        <f>"70/96"</f>
        <v>70/96</v>
      </c>
      <c r="E653" s="6">
        <v>0.1</v>
      </c>
      <c r="F653" s="6" t="s">
        <v>1899</v>
      </c>
      <c r="G653" s="6" t="s">
        <v>1900</v>
      </c>
      <c r="H653" t="s">
        <v>27</v>
      </c>
      <c r="I653" s="1" t="s">
        <v>512</v>
      </c>
      <c r="J653" s="6"/>
    </row>
    <row r="654" spans="1:10" x14ac:dyDescent="0.2">
      <c r="A654" s="1" t="s">
        <v>2125</v>
      </c>
      <c r="B654" s="6">
        <v>1.7</v>
      </c>
      <c r="C654" s="6" t="s">
        <v>54</v>
      </c>
      <c r="D654" s="6" t="str">
        <f>"49/63"</f>
        <v>49/63</v>
      </c>
      <c r="E654" s="6">
        <v>0.6</v>
      </c>
      <c r="F654" s="6" t="s">
        <v>2126</v>
      </c>
      <c r="G654" s="6" t="s">
        <v>2127</v>
      </c>
      <c r="H654" t="s">
        <v>27</v>
      </c>
      <c r="I654" s="1" t="s">
        <v>1038</v>
      </c>
      <c r="J654" s="6"/>
    </row>
    <row r="655" spans="1:10" x14ac:dyDescent="0.2">
      <c r="A655" s="1" t="s">
        <v>2175</v>
      </c>
      <c r="B655" s="6">
        <v>1.7</v>
      </c>
      <c r="C655" s="6" t="s">
        <v>24</v>
      </c>
      <c r="D655" s="6" t="str">
        <f>"14/34"</f>
        <v>14/34</v>
      </c>
      <c r="E655" s="6">
        <v>0.7</v>
      </c>
      <c r="F655" s="6" t="s">
        <v>2176</v>
      </c>
      <c r="G655" s="6" t="s">
        <v>2177</v>
      </c>
      <c r="H655" t="s">
        <v>292</v>
      </c>
      <c r="I655" s="1" t="s">
        <v>293</v>
      </c>
      <c r="J655" s="6"/>
    </row>
    <row r="656" spans="1:10" ht="28.5" x14ac:dyDescent="0.2">
      <c r="A656" s="1" t="s">
        <v>2304</v>
      </c>
      <c r="B656" s="6">
        <v>1.7</v>
      </c>
      <c r="C656" s="6" t="s">
        <v>7</v>
      </c>
      <c r="D656" s="6" t="str">
        <f>"10/62"</f>
        <v>10/62</v>
      </c>
      <c r="E656" s="6">
        <v>0.5</v>
      </c>
      <c r="F656" s="6" t="s">
        <v>2305</v>
      </c>
      <c r="G656" s="6" t="s">
        <v>2306</v>
      </c>
      <c r="H656" t="s">
        <v>15</v>
      </c>
      <c r="I656" s="1" t="s">
        <v>32</v>
      </c>
      <c r="J656" s="6"/>
    </row>
    <row r="657" spans="1:10" x14ac:dyDescent="0.2">
      <c r="A657" s="1" t="s">
        <v>2458</v>
      </c>
      <c r="B657" s="6">
        <v>1.7</v>
      </c>
      <c r="C657" s="6" t="s">
        <v>54</v>
      </c>
      <c r="D657" s="6" t="str">
        <f>"19/24"</f>
        <v>19/24</v>
      </c>
      <c r="E657" s="6">
        <v>0.2</v>
      </c>
      <c r="F657" s="6" t="s">
        <v>2459</v>
      </c>
      <c r="G657" s="6" t="s">
        <v>2460</v>
      </c>
      <c r="H657" t="s">
        <v>27</v>
      </c>
      <c r="I657" s="1" t="s">
        <v>69</v>
      </c>
      <c r="J657" s="6"/>
    </row>
    <row r="658" spans="1:10" x14ac:dyDescent="0.2">
      <c r="A658" s="1" t="s">
        <v>2567</v>
      </c>
      <c r="B658" s="6">
        <v>1.7</v>
      </c>
      <c r="C658" s="6" t="s">
        <v>54</v>
      </c>
      <c r="D658" s="6" t="str">
        <f>"65/86"</f>
        <v>65/86</v>
      </c>
      <c r="E658" s="6">
        <v>0.1</v>
      </c>
      <c r="F658" s="6" t="s">
        <v>2568</v>
      </c>
      <c r="G658" s="6" t="s">
        <v>2569</v>
      </c>
      <c r="H658" t="s">
        <v>10</v>
      </c>
      <c r="I658" s="1" t="s">
        <v>133</v>
      </c>
      <c r="J658" s="6"/>
    </row>
    <row r="659" spans="1:10" x14ac:dyDescent="0.2">
      <c r="A659" s="1" t="s">
        <v>2587</v>
      </c>
      <c r="B659" s="6">
        <v>1.7</v>
      </c>
      <c r="C659" s="6" t="s">
        <v>18</v>
      </c>
      <c r="D659" s="6" t="str">
        <f>"48/68"</f>
        <v>48/68</v>
      </c>
      <c r="E659" s="6">
        <v>0.3</v>
      </c>
      <c r="F659" s="6" t="s">
        <v>2588</v>
      </c>
      <c r="G659" s="6" t="s">
        <v>2589</v>
      </c>
      <c r="H659" t="s">
        <v>15</v>
      </c>
      <c r="I659" s="1" t="s">
        <v>36</v>
      </c>
      <c r="J659" s="6"/>
    </row>
    <row r="660" spans="1:10" ht="28.5" x14ac:dyDescent="0.2">
      <c r="A660" s="1" t="s">
        <v>2817</v>
      </c>
      <c r="B660" s="6">
        <v>1.7</v>
      </c>
      <c r="C660" s="6" t="s">
        <v>18</v>
      </c>
      <c r="D660" s="6" t="str">
        <f>"19/32"</f>
        <v>19/32</v>
      </c>
      <c r="E660" s="6">
        <v>0.3</v>
      </c>
      <c r="F660" s="6" t="s">
        <v>2818</v>
      </c>
      <c r="G660" s="6" t="s">
        <v>60</v>
      </c>
      <c r="H660" t="s">
        <v>51</v>
      </c>
      <c r="I660" s="1" t="s">
        <v>2819</v>
      </c>
      <c r="J660" s="6"/>
    </row>
    <row r="661" spans="1:10" x14ac:dyDescent="0.2">
      <c r="A661" s="1" t="s">
        <v>2833</v>
      </c>
      <c r="B661" s="6">
        <v>1.7</v>
      </c>
      <c r="C661" s="6" t="s">
        <v>18</v>
      </c>
      <c r="D661" s="6" t="str">
        <f>"56/90"</f>
        <v>56/90</v>
      </c>
      <c r="E661" s="6">
        <v>0.5</v>
      </c>
      <c r="F661" s="6" t="s">
        <v>2834</v>
      </c>
      <c r="G661" s="6" t="s">
        <v>2834</v>
      </c>
      <c r="H661" t="s">
        <v>544</v>
      </c>
      <c r="I661" s="1" t="s">
        <v>2835</v>
      </c>
      <c r="J661" s="6"/>
    </row>
    <row r="662" spans="1:10" x14ac:dyDescent="0.2">
      <c r="A662" s="1" t="s">
        <v>17</v>
      </c>
      <c r="B662" s="6">
        <v>1.6</v>
      </c>
      <c r="C662" s="6" t="s">
        <v>18</v>
      </c>
      <c r="D662" s="6" t="str">
        <f>"102/137"</f>
        <v>102/137</v>
      </c>
      <c r="E662" s="6">
        <v>0.2</v>
      </c>
      <c r="F662" s="6" t="s">
        <v>19</v>
      </c>
      <c r="G662" s="6" t="s">
        <v>20</v>
      </c>
      <c r="H662" t="s">
        <v>21</v>
      </c>
      <c r="I662" s="1" t="s">
        <v>22</v>
      </c>
      <c r="J662" s="6"/>
    </row>
    <row r="663" spans="1:10" x14ac:dyDescent="0.2">
      <c r="A663" s="1" t="s">
        <v>97</v>
      </c>
      <c r="B663" s="6">
        <v>1.6</v>
      </c>
      <c r="C663" s="6" t="s">
        <v>54</v>
      </c>
      <c r="D663" s="6" t="str">
        <f>"34/40"</f>
        <v>34/40</v>
      </c>
      <c r="E663" s="6">
        <v>0.2</v>
      </c>
      <c r="F663" s="6" t="s">
        <v>98</v>
      </c>
      <c r="G663" s="6" t="s">
        <v>99</v>
      </c>
      <c r="H663" t="s">
        <v>15</v>
      </c>
      <c r="I663" s="1" t="s">
        <v>44</v>
      </c>
      <c r="J663" s="6"/>
    </row>
    <row r="664" spans="1:10" x14ac:dyDescent="0.2">
      <c r="A664" s="1" t="s">
        <v>185</v>
      </c>
      <c r="B664" s="6">
        <v>1.6</v>
      </c>
      <c r="C664" s="6" t="s">
        <v>54</v>
      </c>
      <c r="D664" s="6" t="str">
        <f>"156/202"</f>
        <v>156/202</v>
      </c>
      <c r="E664" s="6">
        <v>0.1</v>
      </c>
      <c r="F664" s="6" t="s">
        <v>186</v>
      </c>
      <c r="G664" s="6" t="s">
        <v>187</v>
      </c>
      <c r="H664" t="s">
        <v>15</v>
      </c>
      <c r="I664" s="1" t="s">
        <v>44</v>
      </c>
      <c r="J664" s="6"/>
    </row>
    <row r="665" spans="1:10" x14ac:dyDescent="0.2">
      <c r="A665" s="1" t="s">
        <v>188</v>
      </c>
      <c r="B665" s="6">
        <v>1.6</v>
      </c>
      <c r="C665" s="6" t="s">
        <v>54</v>
      </c>
      <c r="D665" s="6" t="str">
        <f>"69/86"</f>
        <v>69/86</v>
      </c>
      <c r="E665" s="6">
        <v>0.3</v>
      </c>
      <c r="F665" s="6" t="s">
        <v>189</v>
      </c>
      <c r="G665" s="6" t="s">
        <v>60</v>
      </c>
      <c r="H665" t="s">
        <v>190</v>
      </c>
      <c r="I665" s="1" t="s">
        <v>191</v>
      </c>
      <c r="J665" s="6"/>
    </row>
    <row r="666" spans="1:10" x14ac:dyDescent="0.2">
      <c r="A666" s="1" t="s">
        <v>282</v>
      </c>
      <c r="B666" s="6">
        <v>1.6</v>
      </c>
      <c r="C666" s="6" t="s">
        <v>18</v>
      </c>
      <c r="D666" s="6" t="str">
        <f>"22/31"</f>
        <v>22/31</v>
      </c>
      <c r="E666" s="6">
        <v>0.3</v>
      </c>
      <c r="F666" s="6" t="s">
        <v>283</v>
      </c>
      <c r="G666" s="6" t="s">
        <v>284</v>
      </c>
      <c r="H666" t="s">
        <v>27</v>
      </c>
      <c r="I666" s="1" t="s">
        <v>285</v>
      </c>
      <c r="J666" s="6"/>
    </row>
    <row r="667" spans="1:10" x14ac:dyDescent="0.2">
      <c r="A667" s="1" t="s">
        <v>324</v>
      </c>
      <c r="B667" s="6">
        <v>1.6</v>
      </c>
      <c r="C667" s="6" t="s">
        <v>18</v>
      </c>
      <c r="D667" s="6" t="str">
        <f>"61/90"</f>
        <v>61/90</v>
      </c>
      <c r="E667" s="6">
        <v>0.2</v>
      </c>
      <c r="F667" s="6" t="s">
        <v>325</v>
      </c>
      <c r="G667" s="6" t="s">
        <v>326</v>
      </c>
      <c r="H667" t="s">
        <v>327</v>
      </c>
      <c r="I667" s="1" t="s">
        <v>328</v>
      </c>
      <c r="J667" s="6"/>
    </row>
    <row r="668" spans="1:10" ht="28.5" x14ac:dyDescent="0.2">
      <c r="A668" s="1" t="s">
        <v>455</v>
      </c>
      <c r="B668" s="6">
        <v>1.6</v>
      </c>
      <c r="C668" s="6" t="s">
        <v>54</v>
      </c>
      <c r="D668" s="6" t="str">
        <f>"53/65"</f>
        <v>53/65</v>
      </c>
      <c r="E668" s="6">
        <v>0.1</v>
      </c>
      <c r="F668" s="6" t="s">
        <v>456</v>
      </c>
      <c r="G668" s="6" t="s">
        <v>457</v>
      </c>
      <c r="H668" t="s">
        <v>15</v>
      </c>
      <c r="I668" s="1" t="s">
        <v>36</v>
      </c>
      <c r="J668" s="6"/>
    </row>
    <row r="669" spans="1:10" ht="28.5" x14ac:dyDescent="0.2">
      <c r="A669" s="1" t="s">
        <v>488</v>
      </c>
      <c r="B669" s="6">
        <v>1.6</v>
      </c>
      <c r="C669" s="6" t="s">
        <v>18</v>
      </c>
      <c r="D669" s="6" t="str">
        <f>"51/68"</f>
        <v>51/68</v>
      </c>
      <c r="E669" s="6">
        <v>1.3</v>
      </c>
      <c r="F669" s="6" t="s">
        <v>489</v>
      </c>
      <c r="G669" s="6" t="s">
        <v>490</v>
      </c>
      <c r="H669" t="s">
        <v>15</v>
      </c>
      <c r="I669" s="1" t="s">
        <v>248</v>
      </c>
      <c r="J669" s="6"/>
    </row>
    <row r="670" spans="1:10" x14ac:dyDescent="0.2">
      <c r="A670" s="1" t="s">
        <v>567</v>
      </c>
      <c r="B670" s="6">
        <v>1.6</v>
      </c>
      <c r="C670" s="6" t="s">
        <v>54</v>
      </c>
      <c r="D670" s="6" t="str">
        <f>"213/275"</f>
        <v>213/275</v>
      </c>
      <c r="E670" s="6">
        <v>0.4</v>
      </c>
      <c r="F670" s="6" t="s">
        <v>568</v>
      </c>
      <c r="G670" s="6" t="s">
        <v>569</v>
      </c>
      <c r="H670" t="s">
        <v>528</v>
      </c>
      <c r="I670" s="1" t="s">
        <v>570</v>
      </c>
      <c r="J670" s="6"/>
    </row>
    <row r="671" spans="1:10" x14ac:dyDescent="0.2">
      <c r="A671" s="1" t="s">
        <v>715</v>
      </c>
      <c r="B671" s="6">
        <v>1.6</v>
      </c>
      <c r="C671" s="6" t="s">
        <v>54</v>
      </c>
      <c r="D671" s="6" t="str">
        <f>"213/275"</f>
        <v>213/275</v>
      </c>
      <c r="E671" s="6">
        <v>0.3</v>
      </c>
      <c r="F671" s="6" t="s">
        <v>716</v>
      </c>
      <c r="G671" s="6" t="s">
        <v>717</v>
      </c>
      <c r="H671" t="s">
        <v>15</v>
      </c>
      <c r="I671" s="1" t="s">
        <v>40</v>
      </c>
      <c r="J671" s="6"/>
    </row>
    <row r="672" spans="1:10" x14ac:dyDescent="0.2">
      <c r="A672" s="1" t="s">
        <v>971</v>
      </c>
      <c r="B672" s="6">
        <v>1.6</v>
      </c>
      <c r="C672" s="6" t="s">
        <v>18</v>
      </c>
      <c r="D672" s="6" t="str">
        <f>"20/32"</f>
        <v>20/32</v>
      </c>
      <c r="E672" s="6">
        <v>0.2</v>
      </c>
      <c r="F672" s="6" t="s">
        <v>972</v>
      </c>
      <c r="G672" s="6" t="s">
        <v>973</v>
      </c>
      <c r="H672" t="s">
        <v>15</v>
      </c>
      <c r="I672" s="1" t="s">
        <v>36</v>
      </c>
      <c r="J672" s="6"/>
    </row>
    <row r="673" spans="1:10" ht="28.5" x14ac:dyDescent="0.2">
      <c r="A673" s="1" t="s">
        <v>974</v>
      </c>
      <c r="B673" s="6">
        <v>1.6</v>
      </c>
      <c r="C673" s="6" t="s">
        <v>18</v>
      </c>
      <c r="D673" s="6" t="str">
        <f>"21/34"</f>
        <v>21/34</v>
      </c>
      <c r="E673" s="6">
        <v>0.4</v>
      </c>
      <c r="F673" s="6" t="s">
        <v>975</v>
      </c>
      <c r="G673" s="6" t="s">
        <v>976</v>
      </c>
      <c r="H673" t="s">
        <v>27</v>
      </c>
      <c r="I673" s="1" t="s">
        <v>892</v>
      </c>
      <c r="J673" s="6"/>
    </row>
    <row r="674" spans="1:10" ht="28.5" x14ac:dyDescent="0.2">
      <c r="A674" s="1" t="s">
        <v>1052</v>
      </c>
      <c r="B674" s="6">
        <v>1.6</v>
      </c>
      <c r="C674" s="6" t="s">
        <v>18</v>
      </c>
      <c r="D674" s="6" t="str">
        <f>"12/16"</f>
        <v>12/16</v>
      </c>
      <c r="E674" s="6">
        <v>0.7</v>
      </c>
      <c r="F674" s="6" t="s">
        <v>1053</v>
      </c>
      <c r="G674" s="6" t="s">
        <v>1054</v>
      </c>
      <c r="H674" t="s">
        <v>27</v>
      </c>
      <c r="I674" s="1" t="s">
        <v>763</v>
      </c>
      <c r="J674" s="6"/>
    </row>
    <row r="675" spans="1:10" ht="28.5" x14ac:dyDescent="0.2">
      <c r="A675" s="1" t="s">
        <v>1097</v>
      </c>
      <c r="B675" s="6">
        <v>1.6</v>
      </c>
      <c r="C675" s="6" t="s">
        <v>54</v>
      </c>
      <c r="D675" s="6" t="str">
        <f>"103/136"</f>
        <v>103/136</v>
      </c>
      <c r="E675" s="6">
        <v>0.4</v>
      </c>
      <c r="F675" s="6" t="s">
        <v>1098</v>
      </c>
      <c r="G675" s="6" t="s">
        <v>1099</v>
      </c>
      <c r="H675" t="s">
        <v>21</v>
      </c>
      <c r="I675" s="1" t="s">
        <v>1100</v>
      </c>
      <c r="J675" s="6"/>
    </row>
    <row r="676" spans="1:10" x14ac:dyDescent="0.2">
      <c r="A676" s="1" t="s">
        <v>1269</v>
      </c>
      <c r="B676" s="6">
        <v>1.6</v>
      </c>
      <c r="C676" s="6" t="s">
        <v>54</v>
      </c>
      <c r="D676" s="6" t="str">
        <f>"103/136"</f>
        <v>103/136</v>
      </c>
      <c r="E676" s="6">
        <v>1.2</v>
      </c>
      <c r="F676" s="6" t="s">
        <v>1270</v>
      </c>
      <c r="G676" s="6" t="s">
        <v>1271</v>
      </c>
      <c r="H676" t="s">
        <v>27</v>
      </c>
      <c r="I676" s="1" t="s">
        <v>763</v>
      </c>
      <c r="J676" s="6"/>
    </row>
    <row r="677" spans="1:10" x14ac:dyDescent="0.2">
      <c r="A677" s="1" t="s">
        <v>1333</v>
      </c>
      <c r="B677" s="6">
        <v>1.6</v>
      </c>
      <c r="C677" s="6" t="s">
        <v>18</v>
      </c>
      <c r="D677" s="6" t="str">
        <f>"61/90"</f>
        <v>61/90</v>
      </c>
      <c r="E677" s="6">
        <v>0.5</v>
      </c>
      <c r="F677" s="6" t="s">
        <v>1334</v>
      </c>
      <c r="G677" s="6" t="s">
        <v>1335</v>
      </c>
      <c r="H677" t="s">
        <v>27</v>
      </c>
      <c r="I677" s="1" t="s">
        <v>677</v>
      </c>
      <c r="J677" s="6"/>
    </row>
    <row r="678" spans="1:10" x14ac:dyDescent="0.2">
      <c r="A678" s="1" t="s">
        <v>1445</v>
      </c>
      <c r="B678" s="6">
        <v>1.6</v>
      </c>
      <c r="C678" s="6" t="s">
        <v>54</v>
      </c>
      <c r="D678" s="6" t="str">
        <f>"103/136"</f>
        <v>103/136</v>
      </c>
      <c r="E678" s="6">
        <v>0.2</v>
      </c>
      <c r="F678" s="6" t="s">
        <v>1446</v>
      </c>
      <c r="G678" s="6" t="s">
        <v>1447</v>
      </c>
      <c r="H678" t="s">
        <v>27</v>
      </c>
      <c r="I678" s="1" t="s">
        <v>87</v>
      </c>
      <c r="J678" s="6"/>
    </row>
    <row r="679" spans="1:10" ht="28.5" x14ac:dyDescent="0.2">
      <c r="A679" s="1" t="s">
        <v>1512</v>
      </c>
      <c r="B679" s="6">
        <v>1.6</v>
      </c>
      <c r="C679" s="6" t="s">
        <v>18</v>
      </c>
      <c r="D679" s="6" t="str">
        <f>"67/107"</f>
        <v>67/107</v>
      </c>
      <c r="E679" s="6">
        <v>0.6</v>
      </c>
      <c r="F679" s="6" t="s">
        <v>1513</v>
      </c>
      <c r="G679" s="6" t="s">
        <v>1514</v>
      </c>
      <c r="H679" t="s">
        <v>15</v>
      </c>
      <c r="I679" s="1" t="s">
        <v>16</v>
      </c>
      <c r="J679" s="6"/>
    </row>
    <row r="680" spans="1:10" x14ac:dyDescent="0.2">
      <c r="A680" s="1" t="s">
        <v>1675</v>
      </c>
      <c r="B680" s="6">
        <v>1.6</v>
      </c>
      <c r="C680" s="6" t="s">
        <v>18</v>
      </c>
      <c r="D680" s="6" t="str">
        <f>"99/142"</f>
        <v>99/142</v>
      </c>
      <c r="E680" s="6">
        <v>0.3</v>
      </c>
      <c r="F680" s="6" t="s">
        <v>1676</v>
      </c>
      <c r="G680" s="6" t="s">
        <v>1677</v>
      </c>
      <c r="H680" t="s">
        <v>27</v>
      </c>
      <c r="I680" s="1" t="s">
        <v>137</v>
      </c>
      <c r="J680" s="6"/>
    </row>
    <row r="681" spans="1:10" ht="28.5" x14ac:dyDescent="0.2">
      <c r="A681" s="1" t="s">
        <v>1678</v>
      </c>
      <c r="B681" s="6">
        <v>1.6</v>
      </c>
      <c r="C681" s="6" t="s">
        <v>54</v>
      </c>
      <c r="D681" s="6" t="str">
        <f>"103/136"</f>
        <v>103/136</v>
      </c>
      <c r="E681" s="6">
        <v>0.2</v>
      </c>
      <c r="F681" s="6" t="s">
        <v>1679</v>
      </c>
      <c r="G681" s="6" t="s">
        <v>1680</v>
      </c>
      <c r="H681" t="s">
        <v>21</v>
      </c>
      <c r="I681" s="1" t="s">
        <v>1681</v>
      </c>
      <c r="J681" s="6"/>
    </row>
    <row r="682" spans="1:10" x14ac:dyDescent="0.2">
      <c r="A682" s="1" t="s">
        <v>1737</v>
      </c>
      <c r="B682" s="6">
        <v>1.6</v>
      </c>
      <c r="C682" s="6" t="s">
        <v>18</v>
      </c>
      <c r="D682" s="6" t="str">
        <f>"47/63"</f>
        <v>47/63</v>
      </c>
      <c r="E682" s="6">
        <v>0.3</v>
      </c>
      <c r="F682" s="6" t="s">
        <v>1738</v>
      </c>
      <c r="G682" s="6" t="s">
        <v>1739</v>
      </c>
      <c r="H682" t="s">
        <v>27</v>
      </c>
      <c r="I682" s="1" t="s">
        <v>69</v>
      </c>
      <c r="J682" s="6"/>
    </row>
    <row r="683" spans="1:10" x14ac:dyDescent="0.2">
      <c r="A683" s="1" t="s">
        <v>1769</v>
      </c>
      <c r="B683" s="6">
        <v>1.6</v>
      </c>
      <c r="C683" s="6" t="s">
        <v>54</v>
      </c>
      <c r="D683" s="6" t="str">
        <f>"103/136"</f>
        <v>103/136</v>
      </c>
      <c r="E683" s="6">
        <v>0.5</v>
      </c>
      <c r="F683" s="6" t="s">
        <v>1770</v>
      </c>
      <c r="G683" s="6" t="s">
        <v>1771</v>
      </c>
      <c r="H683" t="s">
        <v>15</v>
      </c>
      <c r="I683" s="1" t="s">
        <v>248</v>
      </c>
      <c r="J683" s="6"/>
    </row>
    <row r="684" spans="1:10" x14ac:dyDescent="0.2">
      <c r="A684" s="1" t="s">
        <v>1807</v>
      </c>
      <c r="B684" s="6">
        <v>1.6</v>
      </c>
      <c r="C684" s="6" t="s">
        <v>54</v>
      </c>
      <c r="D684" s="6" t="str">
        <f>"213/275"</f>
        <v>213/275</v>
      </c>
      <c r="E684" s="6">
        <v>0.5</v>
      </c>
      <c r="F684" s="6" t="s">
        <v>1808</v>
      </c>
      <c r="G684" s="6" t="s">
        <v>1809</v>
      </c>
      <c r="H684" t="s">
        <v>15</v>
      </c>
      <c r="I684" s="1" t="s">
        <v>16</v>
      </c>
      <c r="J684" s="6"/>
    </row>
    <row r="685" spans="1:10" ht="28.5" x14ac:dyDescent="0.2">
      <c r="A685" s="1" t="s">
        <v>1831</v>
      </c>
      <c r="B685" s="6">
        <v>1.6</v>
      </c>
      <c r="C685" s="6" t="s">
        <v>54</v>
      </c>
      <c r="D685" s="6" t="str">
        <f>"213/275"</f>
        <v>213/275</v>
      </c>
      <c r="E685" s="6">
        <v>0.4</v>
      </c>
      <c r="F685" s="6" t="s">
        <v>1832</v>
      </c>
      <c r="G685" s="6" t="s">
        <v>1833</v>
      </c>
      <c r="H685" t="s">
        <v>15</v>
      </c>
      <c r="I685" s="1" t="s">
        <v>1803</v>
      </c>
      <c r="J685" s="6"/>
    </row>
    <row r="686" spans="1:10" x14ac:dyDescent="0.2">
      <c r="A686" s="1" t="s">
        <v>2147</v>
      </c>
      <c r="B686" s="6">
        <v>1.6</v>
      </c>
      <c r="C686" s="6" t="s">
        <v>54</v>
      </c>
      <c r="D686" s="6" t="str">
        <f>"156/202"</f>
        <v>156/202</v>
      </c>
      <c r="E686" s="6">
        <v>0.5</v>
      </c>
      <c r="F686" s="6" t="s">
        <v>2148</v>
      </c>
      <c r="G686" s="6" t="s">
        <v>2149</v>
      </c>
      <c r="H686" t="s">
        <v>27</v>
      </c>
      <c r="I686" s="1" t="s">
        <v>2150</v>
      </c>
      <c r="J686" s="6"/>
    </row>
    <row r="687" spans="1:10" x14ac:dyDescent="0.2">
      <c r="A687" s="1" t="s">
        <v>2240</v>
      </c>
      <c r="B687" s="6">
        <v>1.6</v>
      </c>
      <c r="C687" s="6" t="s">
        <v>18</v>
      </c>
      <c r="D687" s="6" t="str">
        <f>"20/32"</f>
        <v>20/32</v>
      </c>
      <c r="E687" s="6">
        <v>0.7</v>
      </c>
      <c r="F687" s="6" t="s">
        <v>2241</v>
      </c>
      <c r="G687" s="6" t="s">
        <v>2242</v>
      </c>
      <c r="H687" t="s">
        <v>27</v>
      </c>
      <c r="I687" s="1" t="s">
        <v>133</v>
      </c>
      <c r="J687" s="6"/>
    </row>
    <row r="688" spans="1:10" x14ac:dyDescent="0.2">
      <c r="A688" s="1" t="s">
        <v>2328</v>
      </c>
      <c r="B688" s="6">
        <v>1.6</v>
      </c>
      <c r="C688" s="6" t="s">
        <v>18</v>
      </c>
      <c r="D688" s="6" t="str">
        <f>"67/107"</f>
        <v>67/107</v>
      </c>
      <c r="E688" s="6">
        <v>0.3</v>
      </c>
      <c r="F688" s="6" t="s">
        <v>2329</v>
      </c>
      <c r="G688" s="6" t="s">
        <v>2330</v>
      </c>
      <c r="H688" t="s">
        <v>1518</v>
      </c>
      <c r="I688" s="1" t="s">
        <v>248</v>
      </c>
      <c r="J688" s="6"/>
    </row>
    <row r="689" spans="1:10" x14ac:dyDescent="0.2">
      <c r="A689" s="1" t="s">
        <v>2557</v>
      </c>
      <c r="B689" s="6">
        <v>1.6</v>
      </c>
      <c r="C689" s="6" t="s">
        <v>18</v>
      </c>
      <c r="D689" s="6" t="str">
        <f>"12/16"</f>
        <v>12/16</v>
      </c>
      <c r="E689" s="6">
        <v>0.5</v>
      </c>
      <c r="F689" s="6" t="s">
        <v>2558</v>
      </c>
      <c r="G689" s="6" t="s">
        <v>2559</v>
      </c>
      <c r="H689" t="s">
        <v>51</v>
      </c>
      <c r="I689" s="1" t="s">
        <v>2560</v>
      </c>
      <c r="J689" s="6"/>
    </row>
    <row r="690" spans="1:10" ht="28.5" x14ac:dyDescent="0.2">
      <c r="A690" s="1" t="s">
        <v>350</v>
      </c>
      <c r="B690" s="6">
        <v>1.5</v>
      </c>
      <c r="C690" s="6" t="s">
        <v>54</v>
      </c>
      <c r="D690" s="6" t="str">
        <f>"55/65"</f>
        <v>55/65</v>
      </c>
      <c r="E690" s="6">
        <v>0.3</v>
      </c>
      <c r="F690" s="6" t="s">
        <v>351</v>
      </c>
      <c r="G690" s="6" t="s">
        <v>352</v>
      </c>
      <c r="H690" t="s">
        <v>132</v>
      </c>
      <c r="I690" s="1" t="s">
        <v>353</v>
      </c>
      <c r="J690" s="6"/>
    </row>
    <row r="691" spans="1:10" ht="28.5" x14ac:dyDescent="0.2">
      <c r="A691" s="1" t="s">
        <v>440</v>
      </c>
      <c r="B691" s="6">
        <v>1.5</v>
      </c>
      <c r="C691" s="6" t="s">
        <v>54</v>
      </c>
      <c r="D691" s="6" t="str">
        <f>"72/87"</f>
        <v>72/87</v>
      </c>
      <c r="E691" s="6">
        <v>0.1</v>
      </c>
      <c r="F691" s="6" t="s">
        <v>441</v>
      </c>
      <c r="G691" s="6" t="s">
        <v>442</v>
      </c>
      <c r="H691" t="s">
        <v>15</v>
      </c>
      <c r="I691" s="1" t="s">
        <v>36</v>
      </c>
      <c r="J691" s="6"/>
    </row>
    <row r="692" spans="1:10" x14ac:dyDescent="0.2">
      <c r="A692" s="1" t="s">
        <v>539</v>
      </c>
      <c r="B692" s="6">
        <v>1.5</v>
      </c>
      <c r="C692" s="6" t="s">
        <v>24</v>
      </c>
      <c r="D692" s="6" t="str">
        <f>"8/19"</f>
        <v>8/19</v>
      </c>
      <c r="E692" s="6">
        <v>0.3</v>
      </c>
      <c r="F692" s="6" t="s">
        <v>540</v>
      </c>
      <c r="G692" s="6" t="s">
        <v>541</v>
      </c>
      <c r="H692" t="s">
        <v>27</v>
      </c>
      <c r="I692" s="1" t="s">
        <v>69</v>
      </c>
      <c r="J692" s="6"/>
    </row>
    <row r="693" spans="1:10" x14ac:dyDescent="0.2">
      <c r="A693" s="1" t="s">
        <v>623</v>
      </c>
      <c r="B693" s="6">
        <v>1.5</v>
      </c>
      <c r="C693" s="6" t="s">
        <v>18</v>
      </c>
      <c r="D693" s="6" t="str">
        <f>"18/34"</f>
        <v>18/34</v>
      </c>
      <c r="E693" s="6">
        <v>0.2</v>
      </c>
      <c r="F693" s="6" t="s">
        <v>624</v>
      </c>
      <c r="G693" s="6" t="s">
        <v>625</v>
      </c>
      <c r="H693" t="s">
        <v>27</v>
      </c>
      <c r="I693" s="1" t="s">
        <v>69</v>
      </c>
      <c r="J693" s="6"/>
    </row>
    <row r="694" spans="1:10" x14ac:dyDescent="0.2">
      <c r="A694" s="1" t="s">
        <v>701</v>
      </c>
      <c r="B694" s="6">
        <v>1.5</v>
      </c>
      <c r="C694" s="6" t="s">
        <v>54</v>
      </c>
      <c r="D694" s="6" t="str">
        <f>"220/275"</f>
        <v>220/275</v>
      </c>
      <c r="E694" s="6">
        <v>0.2</v>
      </c>
      <c r="F694" s="6" t="s">
        <v>702</v>
      </c>
      <c r="G694" s="6" t="s">
        <v>703</v>
      </c>
      <c r="H694" t="s">
        <v>27</v>
      </c>
      <c r="I694" s="1" t="s">
        <v>16</v>
      </c>
      <c r="J694" s="6"/>
    </row>
    <row r="695" spans="1:10" x14ac:dyDescent="0.2">
      <c r="A695" s="1" t="s">
        <v>946</v>
      </c>
      <c r="B695" s="6">
        <v>1.5</v>
      </c>
      <c r="C695" s="6" t="s">
        <v>18</v>
      </c>
      <c r="D695" s="6" t="str">
        <f>"22/34"</f>
        <v>22/34</v>
      </c>
      <c r="E695" s="6">
        <v>0.4</v>
      </c>
      <c r="F695" s="6" t="s">
        <v>947</v>
      </c>
      <c r="G695" s="6" t="s">
        <v>948</v>
      </c>
      <c r="H695" t="s">
        <v>27</v>
      </c>
      <c r="I695" s="1" t="s">
        <v>949</v>
      </c>
      <c r="J695" s="6"/>
    </row>
    <row r="696" spans="1:10" ht="28.5" x14ac:dyDescent="0.2">
      <c r="A696" s="1" t="s">
        <v>1013</v>
      </c>
      <c r="B696" s="6">
        <v>1.5</v>
      </c>
      <c r="C696" s="6" t="s">
        <v>54</v>
      </c>
      <c r="D696" s="6" t="str">
        <f>"50/63"</f>
        <v>50/63</v>
      </c>
      <c r="E696" s="6">
        <v>0.6</v>
      </c>
      <c r="F696" s="6" t="s">
        <v>1014</v>
      </c>
      <c r="G696" s="6" t="s">
        <v>1015</v>
      </c>
      <c r="H696" t="s">
        <v>27</v>
      </c>
      <c r="I696" s="1" t="s">
        <v>1016</v>
      </c>
      <c r="J696" s="6"/>
    </row>
    <row r="697" spans="1:10" x14ac:dyDescent="0.2">
      <c r="A697" s="1" t="s">
        <v>1077</v>
      </c>
      <c r="B697" s="6">
        <v>1.5</v>
      </c>
      <c r="C697" s="6" t="s">
        <v>18</v>
      </c>
      <c r="D697" s="6" t="str">
        <f>"101/142"</f>
        <v>101/142</v>
      </c>
      <c r="E697" s="6">
        <v>0</v>
      </c>
      <c r="F697" s="6" t="s">
        <v>1078</v>
      </c>
      <c r="G697" s="6" t="s">
        <v>1078</v>
      </c>
      <c r="H697" t="s">
        <v>27</v>
      </c>
      <c r="I697" s="1" t="s">
        <v>69</v>
      </c>
      <c r="J697" s="6"/>
    </row>
    <row r="698" spans="1:10" ht="28.5" x14ac:dyDescent="0.2">
      <c r="A698" s="1" t="s">
        <v>1238</v>
      </c>
      <c r="B698" s="6">
        <v>1.5</v>
      </c>
      <c r="C698" s="6" t="s">
        <v>54</v>
      </c>
      <c r="D698" s="6" t="str">
        <f>"113/136"</f>
        <v>113/136</v>
      </c>
      <c r="E698" s="6">
        <v>0.4</v>
      </c>
      <c r="F698" s="6" t="s">
        <v>1239</v>
      </c>
      <c r="G698" s="6" t="s">
        <v>1240</v>
      </c>
      <c r="H698" t="s">
        <v>27</v>
      </c>
      <c r="I698" s="1" t="s">
        <v>763</v>
      </c>
      <c r="J698" s="6"/>
    </row>
    <row r="699" spans="1:10" ht="28.5" x14ac:dyDescent="0.2">
      <c r="A699" s="1" t="s">
        <v>1339</v>
      </c>
      <c r="B699" s="6">
        <v>1.5</v>
      </c>
      <c r="C699" s="6" t="s">
        <v>54</v>
      </c>
      <c r="D699" s="6" t="str">
        <f>"220/275"</f>
        <v>220/275</v>
      </c>
      <c r="E699" s="6">
        <v>0.5</v>
      </c>
      <c r="F699" s="6" t="s">
        <v>1340</v>
      </c>
      <c r="G699" s="6" t="s">
        <v>1341</v>
      </c>
      <c r="H699" t="s">
        <v>1342</v>
      </c>
      <c r="I699" s="1" t="s">
        <v>1343</v>
      </c>
      <c r="J699" s="6"/>
    </row>
    <row r="700" spans="1:10" ht="28.5" x14ac:dyDescent="0.2">
      <c r="A700" s="1" t="s">
        <v>1377</v>
      </c>
      <c r="B700" s="6">
        <v>1.5</v>
      </c>
      <c r="C700" s="6" t="s">
        <v>18</v>
      </c>
      <c r="D700" s="6" t="str">
        <f>"22/34"</f>
        <v>22/34</v>
      </c>
      <c r="E700" s="6">
        <v>0.1</v>
      </c>
      <c r="F700" s="6" t="s">
        <v>1378</v>
      </c>
      <c r="G700" s="6" t="s">
        <v>1379</v>
      </c>
      <c r="H700" t="s">
        <v>27</v>
      </c>
      <c r="I700" s="1" t="s">
        <v>892</v>
      </c>
      <c r="J700" s="6"/>
    </row>
    <row r="701" spans="1:10" x14ac:dyDescent="0.2">
      <c r="A701" s="1" t="s">
        <v>1416</v>
      </c>
      <c r="B701" s="6">
        <v>1.5</v>
      </c>
      <c r="C701" s="6" t="s">
        <v>54</v>
      </c>
      <c r="D701" s="6" t="str">
        <f>"53/68"</f>
        <v>53/68</v>
      </c>
      <c r="E701" s="6">
        <v>0.5</v>
      </c>
      <c r="F701" s="6" t="s">
        <v>1417</v>
      </c>
      <c r="G701" s="6" t="s">
        <v>1418</v>
      </c>
      <c r="H701" t="s">
        <v>15</v>
      </c>
      <c r="I701" s="1" t="s">
        <v>44</v>
      </c>
      <c r="J701" s="6"/>
    </row>
    <row r="702" spans="1:10" ht="28.5" x14ac:dyDescent="0.2">
      <c r="A702" s="1" t="s">
        <v>1441</v>
      </c>
      <c r="B702" s="6">
        <v>1.5</v>
      </c>
      <c r="C702" s="6" t="s">
        <v>54</v>
      </c>
      <c r="D702" s="6" t="str">
        <f>"53/68"</f>
        <v>53/68</v>
      </c>
      <c r="E702" s="6">
        <v>0.4</v>
      </c>
      <c r="F702" s="6" t="s">
        <v>1442</v>
      </c>
      <c r="G702" s="6" t="s">
        <v>1443</v>
      </c>
      <c r="H702" t="s">
        <v>21</v>
      </c>
      <c r="I702" s="1" t="s">
        <v>1444</v>
      </c>
      <c r="J702" s="6"/>
    </row>
    <row r="703" spans="1:10" ht="28.5" x14ac:dyDescent="0.2">
      <c r="A703" s="1" t="s">
        <v>1519</v>
      </c>
      <c r="B703" s="6">
        <v>1.5</v>
      </c>
      <c r="C703" s="6" t="s">
        <v>24</v>
      </c>
      <c r="D703" s="6" t="str">
        <f>"113/267"</f>
        <v>113/267</v>
      </c>
      <c r="E703" s="6">
        <v>0.2</v>
      </c>
      <c r="F703" s="6" t="s">
        <v>1520</v>
      </c>
      <c r="G703" s="6" t="s">
        <v>1521</v>
      </c>
      <c r="H703" t="s">
        <v>15</v>
      </c>
      <c r="I703" s="1" t="s">
        <v>137</v>
      </c>
      <c r="J703" s="6"/>
    </row>
    <row r="704" spans="1:10" ht="28.5" x14ac:dyDescent="0.2">
      <c r="A704" s="1" t="s">
        <v>1577</v>
      </c>
      <c r="B704" s="6">
        <v>1.5</v>
      </c>
      <c r="C704" s="6" t="s">
        <v>54</v>
      </c>
      <c r="D704" s="6" t="str">
        <f>"28/30"</f>
        <v>28/30</v>
      </c>
      <c r="E704" s="6">
        <v>0.1</v>
      </c>
      <c r="F704" s="6" t="s">
        <v>1578</v>
      </c>
      <c r="G704" s="6" t="s">
        <v>1579</v>
      </c>
      <c r="H704" t="s">
        <v>1342</v>
      </c>
      <c r="I704" s="1" t="s">
        <v>1343</v>
      </c>
      <c r="J704" s="6"/>
    </row>
    <row r="705" spans="1:10" x14ac:dyDescent="0.2">
      <c r="A705" s="1" t="s">
        <v>1692</v>
      </c>
      <c r="B705" s="6">
        <v>1.5</v>
      </c>
      <c r="C705" s="6" t="s">
        <v>54</v>
      </c>
      <c r="D705" s="6" t="str">
        <f>"220/275"</f>
        <v>220/275</v>
      </c>
      <c r="E705" s="6">
        <v>0.2</v>
      </c>
      <c r="F705" s="6" t="s">
        <v>1693</v>
      </c>
      <c r="G705" s="6" t="s">
        <v>1694</v>
      </c>
      <c r="H705" t="s">
        <v>27</v>
      </c>
      <c r="I705" s="1" t="s">
        <v>285</v>
      </c>
      <c r="J705" s="6"/>
    </row>
    <row r="706" spans="1:10" x14ac:dyDescent="0.2">
      <c r="A706" s="1" t="s">
        <v>1782</v>
      </c>
      <c r="B706" s="6">
        <v>1.5</v>
      </c>
      <c r="C706" s="6" t="s">
        <v>24</v>
      </c>
      <c r="D706" s="6" t="str">
        <f>"113/267"</f>
        <v>113/267</v>
      </c>
      <c r="E706" s="6">
        <v>0.2</v>
      </c>
      <c r="F706" s="6" t="s">
        <v>1783</v>
      </c>
      <c r="G706" s="6" t="s">
        <v>1784</v>
      </c>
      <c r="H706" t="s">
        <v>15</v>
      </c>
      <c r="I706" s="1" t="s">
        <v>387</v>
      </c>
      <c r="J706" s="6"/>
    </row>
    <row r="707" spans="1:10" x14ac:dyDescent="0.2">
      <c r="A707" s="1" t="s">
        <v>1791</v>
      </c>
      <c r="B707" s="6">
        <v>1.5</v>
      </c>
      <c r="C707" s="6" t="s">
        <v>54</v>
      </c>
      <c r="D707" s="6" t="str">
        <f>"220/275"</f>
        <v>220/275</v>
      </c>
      <c r="E707" s="6">
        <v>0.8</v>
      </c>
      <c r="F707" s="6" t="s">
        <v>1792</v>
      </c>
      <c r="G707" s="6" t="s">
        <v>1793</v>
      </c>
      <c r="H707" t="s">
        <v>327</v>
      </c>
      <c r="I707" s="1" t="s">
        <v>44</v>
      </c>
      <c r="J707" s="6"/>
    </row>
    <row r="708" spans="1:10" x14ac:dyDescent="0.2">
      <c r="A708" s="1" t="s">
        <v>2204</v>
      </c>
      <c r="B708" s="6">
        <v>1.5</v>
      </c>
      <c r="C708" s="6" t="s">
        <v>54</v>
      </c>
      <c r="D708" s="6" t="str">
        <f>"26/34"</f>
        <v>26/34</v>
      </c>
      <c r="E708" s="6">
        <v>0.5</v>
      </c>
      <c r="F708" s="6" t="s">
        <v>2205</v>
      </c>
      <c r="G708" s="6" t="s">
        <v>2206</v>
      </c>
      <c r="H708" t="s">
        <v>102</v>
      </c>
      <c r="I708" s="1" t="s">
        <v>730</v>
      </c>
      <c r="J708" s="6"/>
    </row>
    <row r="709" spans="1:10" x14ac:dyDescent="0.2">
      <c r="A709" s="1" t="s">
        <v>2405</v>
      </c>
      <c r="B709" s="6">
        <v>1.5</v>
      </c>
      <c r="C709" s="6" t="s">
        <v>54</v>
      </c>
      <c r="D709" s="6" t="str">
        <f>"220/275"</f>
        <v>220/275</v>
      </c>
      <c r="E709" s="6">
        <v>0.1</v>
      </c>
      <c r="F709" s="6" t="s">
        <v>2406</v>
      </c>
      <c r="G709" s="6" t="s">
        <v>2407</v>
      </c>
      <c r="H709" t="s">
        <v>27</v>
      </c>
      <c r="I709" s="1" t="s">
        <v>69</v>
      </c>
      <c r="J709" s="6"/>
    </row>
    <row r="710" spans="1:10" x14ac:dyDescent="0.2">
      <c r="A710" s="1" t="s">
        <v>2413</v>
      </c>
      <c r="B710" s="6">
        <v>1.5</v>
      </c>
      <c r="C710" s="6" t="s">
        <v>54</v>
      </c>
      <c r="D710" s="6" t="str">
        <f>"112/139"</f>
        <v>112/139</v>
      </c>
      <c r="E710" s="6">
        <v>0.3</v>
      </c>
      <c r="F710" s="6" t="s">
        <v>2414</v>
      </c>
      <c r="G710" s="6" t="s">
        <v>2415</v>
      </c>
      <c r="H710" t="s">
        <v>21</v>
      </c>
      <c r="I710" s="1" t="s">
        <v>22</v>
      </c>
      <c r="J710" s="6"/>
    </row>
    <row r="711" spans="1:10" x14ac:dyDescent="0.2">
      <c r="A711" s="1" t="s">
        <v>2530</v>
      </c>
      <c r="B711" s="6">
        <v>1.5</v>
      </c>
      <c r="C711" s="6" t="s">
        <v>54</v>
      </c>
      <c r="D711" s="6" t="str">
        <f>"112/139"</f>
        <v>112/139</v>
      </c>
      <c r="E711" s="6">
        <v>0.2</v>
      </c>
      <c r="F711" s="6" t="s">
        <v>2531</v>
      </c>
      <c r="G711" s="6" t="s">
        <v>2531</v>
      </c>
      <c r="H711" t="s">
        <v>27</v>
      </c>
      <c r="I711" s="1" t="s">
        <v>677</v>
      </c>
      <c r="J711" s="6"/>
    </row>
    <row r="712" spans="1:10" x14ac:dyDescent="0.2">
      <c r="A712" s="1" t="s">
        <v>2765</v>
      </c>
      <c r="B712" s="6">
        <v>1.5</v>
      </c>
      <c r="C712" s="6" t="s">
        <v>18</v>
      </c>
      <c r="D712" s="6" t="str">
        <f>"22/34"</f>
        <v>22/34</v>
      </c>
      <c r="E712" s="6">
        <v>0.4</v>
      </c>
      <c r="F712" s="6" t="s">
        <v>2766</v>
      </c>
      <c r="G712" s="6" t="s">
        <v>2767</v>
      </c>
      <c r="H712" t="s">
        <v>15</v>
      </c>
      <c r="I712" s="1" t="s">
        <v>248</v>
      </c>
      <c r="J712" s="6"/>
    </row>
    <row r="713" spans="1:10" x14ac:dyDescent="0.2">
      <c r="A713" s="1" t="s">
        <v>297</v>
      </c>
      <c r="B713" s="6">
        <v>1.4</v>
      </c>
      <c r="C713" s="6" t="s">
        <v>18</v>
      </c>
      <c r="D713" s="6" t="str">
        <f>"66/90"</f>
        <v>66/90</v>
      </c>
      <c r="E713" s="6">
        <v>0.8</v>
      </c>
      <c r="F713" s="6" t="s">
        <v>298</v>
      </c>
      <c r="G713" s="6" t="s">
        <v>60</v>
      </c>
      <c r="H713" t="s">
        <v>299</v>
      </c>
      <c r="I713" s="1" t="s">
        <v>300</v>
      </c>
      <c r="J713" s="6"/>
    </row>
    <row r="714" spans="1:10" ht="28.5" x14ac:dyDescent="0.2">
      <c r="A714" s="1" t="s">
        <v>354</v>
      </c>
      <c r="B714" s="6">
        <v>1.4</v>
      </c>
      <c r="C714" s="6" t="s">
        <v>54</v>
      </c>
      <c r="D714" s="6" t="str">
        <f>"55/68"</f>
        <v>55/68</v>
      </c>
      <c r="E714" s="6">
        <v>0.1</v>
      </c>
      <c r="F714" s="6" t="s">
        <v>355</v>
      </c>
      <c r="G714" s="6" t="s">
        <v>355</v>
      </c>
      <c r="H714" t="s">
        <v>356</v>
      </c>
      <c r="I714" s="1" t="s">
        <v>357</v>
      </c>
      <c r="J714" s="6"/>
    </row>
    <row r="715" spans="1:10" ht="28.5" x14ac:dyDescent="0.2">
      <c r="A715" s="1" t="s">
        <v>388</v>
      </c>
      <c r="B715" s="6">
        <v>1.4</v>
      </c>
      <c r="C715" s="6" t="s">
        <v>54</v>
      </c>
      <c r="D715" s="6" t="str">
        <f>"167/202"</f>
        <v>167/202</v>
      </c>
      <c r="E715" s="6">
        <v>0.5</v>
      </c>
      <c r="F715" s="6" t="s">
        <v>389</v>
      </c>
      <c r="G715" s="6" t="s">
        <v>390</v>
      </c>
      <c r="H715" t="s">
        <v>15</v>
      </c>
      <c r="I715" s="1" t="s">
        <v>391</v>
      </c>
      <c r="J715" s="6"/>
    </row>
    <row r="716" spans="1:10" x14ac:dyDescent="0.2">
      <c r="A716" s="1" t="s">
        <v>756</v>
      </c>
      <c r="B716" s="6">
        <v>1.4</v>
      </c>
      <c r="C716" s="6" t="s">
        <v>54</v>
      </c>
      <c r="D716" s="6" t="str">
        <f>"115/136"</f>
        <v>115/136</v>
      </c>
      <c r="E716" s="6">
        <v>0.2</v>
      </c>
      <c r="F716" s="6" t="s">
        <v>757</v>
      </c>
      <c r="G716" s="6" t="s">
        <v>758</v>
      </c>
      <c r="H716" t="s">
        <v>10</v>
      </c>
      <c r="I716" s="1" t="s">
        <v>759</v>
      </c>
      <c r="J716" s="6"/>
    </row>
    <row r="717" spans="1:10" x14ac:dyDescent="0.2">
      <c r="A717" s="1" t="s">
        <v>940</v>
      </c>
      <c r="B717" s="6">
        <v>1.4</v>
      </c>
      <c r="C717" s="6" t="s">
        <v>18</v>
      </c>
      <c r="D717" s="6" t="str">
        <f>"23/31"</f>
        <v>23/31</v>
      </c>
      <c r="E717" s="6">
        <v>0.2</v>
      </c>
      <c r="F717" s="6" t="s">
        <v>941</v>
      </c>
      <c r="G717" s="6" t="s">
        <v>941</v>
      </c>
      <c r="H717" t="s">
        <v>27</v>
      </c>
      <c r="I717" s="1" t="s">
        <v>942</v>
      </c>
      <c r="J717" s="6"/>
    </row>
    <row r="718" spans="1:10" ht="28.5" x14ac:dyDescent="0.2">
      <c r="A718" s="1" t="s">
        <v>989</v>
      </c>
      <c r="B718" s="6">
        <v>1.4</v>
      </c>
      <c r="C718" s="6" t="s">
        <v>54</v>
      </c>
      <c r="D718" s="6" t="str">
        <f>"13/16"</f>
        <v>13/16</v>
      </c>
      <c r="E718" s="6">
        <v>0.2</v>
      </c>
      <c r="F718" s="6" t="s">
        <v>990</v>
      </c>
      <c r="G718" s="6" t="s">
        <v>991</v>
      </c>
      <c r="H718" t="s">
        <v>27</v>
      </c>
      <c r="I718" s="1" t="s">
        <v>992</v>
      </c>
      <c r="J718" s="6"/>
    </row>
    <row r="719" spans="1:10" x14ac:dyDescent="0.2">
      <c r="A719" s="1" t="s">
        <v>1032</v>
      </c>
      <c r="B719" s="6">
        <v>1.4</v>
      </c>
      <c r="C719" s="6" t="s">
        <v>54</v>
      </c>
      <c r="D719" s="6" t="str">
        <f>"226/275"</f>
        <v>226/275</v>
      </c>
      <c r="E719" s="6">
        <v>0.3</v>
      </c>
      <c r="F719" s="6" t="s">
        <v>1033</v>
      </c>
      <c r="G719" s="6" t="s">
        <v>1034</v>
      </c>
      <c r="H719" t="s">
        <v>10</v>
      </c>
      <c r="I719" s="1" t="s">
        <v>361</v>
      </c>
      <c r="J719" s="6"/>
    </row>
    <row r="720" spans="1:10" ht="28.5" x14ac:dyDescent="0.2">
      <c r="A720" s="1" t="s">
        <v>1532</v>
      </c>
      <c r="B720" s="6">
        <v>1.4</v>
      </c>
      <c r="C720" s="6" t="s">
        <v>54</v>
      </c>
      <c r="D720" s="6" t="str">
        <f>"226/275"</f>
        <v>226/275</v>
      </c>
      <c r="E720" s="6">
        <v>0.5</v>
      </c>
      <c r="F720" s="6" t="s">
        <v>1533</v>
      </c>
      <c r="G720" s="6" t="s">
        <v>1534</v>
      </c>
      <c r="H720" t="s">
        <v>15</v>
      </c>
      <c r="I720" s="1" t="s">
        <v>338</v>
      </c>
      <c r="J720" s="6"/>
    </row>
    <row r="721" spans="1:10" x14ac:dyDescent="0.2">
      <c r="A721" s="1" t="s">
        <v>1535</v>
      </c>
      <c r="B721" s="6">
        <v>1.4</v>
      </c>
      <c r="C721" s="6" t="s">
        <v>18</v>
      </c>
      <c r="D721" s="6" t="str">
        <f>"25/34"</f>
        <v>25/34</v>
      </c>
      <c r="E721" s="6">
        <v>0.4</v>
      </c>
      <c r="F721" s="6" t="s">
        <v>1536</v>
      </c>
      <c r="G721" s="6" t="s">
        <v>1537</v>
      </c>
      <c r="H721" t="s">
        <v>15</v>
      </c>
      <c r="I721" s="1" t="s">
        <v>36</v>
      </c>
      <c r="J721" s="6"/>
    </row>
    <row r="722" spans="1:10" x14ac:dyDescent="0.2">
      <c r="A722" s="1" t="s">
        <v>1695</v>
      </c>
      <c r="B722" s="6">
        <v>1.4</v>
      </c>
      <c r="C722" s="6" t="s">
        <v>18</v>
      </c>
      <c r="D722" s="6" t="str">
        <f>"25/34"</f>
        <v>25/34</v>
      </c>
      <c r="E722" s="6">
        <v>0.2</v>
      </c>
      <c r="F722" s="6" t="s">
        <v>1696</v>
      </c>
      <c r="G722" s="6" t="s">
        <v>1697</v>
      </c>
      <c r="H722" t="s">
        <v>27</v>
      </c>
      <c r="I722" s="1" t="s">
        <v>285</v>
      </c>
      <c r="J722" s="6"/>
    </row>
    <row r="723" spans="1:10" ht="28.5" x14ac:dyDescent="0.2">
      <c r="A723" s="1" t="s">
        <v>1721</v>
      </c>
      <c r="B723" s="6">
        <v>1.4</v>
      </c>
      <c r="C723" s="6" t="s">
        <v>18</v>
      </c>
      <c r="D723" s="6" t="str">
        <f>"76/107"</f>
        <v>76/107</v>
      </c>
      <c r="E723" s="6">
        <v>2.2000000000000002</v>
      </c>
      <c r="F723" s="6" t="s">
        <v>1722</v>
      </c>
      <c r="G723" s="6" t="s">
        <v>1723</v>
      </c>
      <c r="H723" t="s">
        <v>27</v>
      </c>
      <c r="I723" s="1" t="s">
        <v>1038</v>
      </c>
      <c r="J723" s="6"/>
    </row>
    <row r="724" spans="1:10" x14ac:dyDescent="0.2">
      <c r="A724" s="1" t="s">
        <v>1797</v>
      </c>
      <c r="B724" s="6">
        <v>1.4</v>
      </c>
      <c r="C724" s="6" t="s">
        <v>54</v>
      </c>
      <c r="D724" s="6" t="str">
        <f>"226/275"</f>
        <v>226/275</v>
      </c>
      <c r="E724" s="6">
        <v>0.2</v>
      </c>
      <c r="F724" s="6" t="s">
        <v>1798</v>
      </c>
      <c r="G724" s="6" t="s">
        <v>1799</v>
      </c>
      <c r="H724" t="s">
        <v>15</v>
      </c>
      <c r="I724" s="1" t="s">
        <v>16</v>
      </c>
      <c r="J724" s="6"/>
    </row>
    <row r="725" spans="1:10" x14ac:dyDescent="0.2">
      <c r="A725" s="1" t="s">
        <v>2496</v>
      </c>
      <c r="B725" s="6">
        <v>1.4</v>
      </c>
      <c r="C725" s="6" t="s">
        <v>7</v>
      </c>
      <c r="D725" s="6" t="str">
        <f>"71/330"</f>
        <v>71/330</v>
      </c>
      <c r="E725" s="6">
        <v>0.5</v>
      </c>
      <c r="F725" s="6" t="s">
        <v>2497</v>
      </c>
      <c r="G725" s="6" t="s">
        <v>2498</v>
      </c>
      <c r="H725" t="s">
        <v>292</v>
      </c>
      <c r="I725" s="1" t="s">
        <v>2499</v>
      </c>
      <c r="J725" s="6"/>
    </row>
    <row r="726" spans="1:10" x14ac:dyDescent="0.2">
      <c r="A726" s="1" t="s">
        <v>2572</v>
      </c>
      <c r="B726" s="6">
        <v>1.4</v>
      </c>
      <c r="C726" s="6" t="s">
        <v>54</v>
      </c>
      <c r="D726" s="6" t="str">
        <f>"115/139"</f>
        <v>115/139</v>
      </c>
      <c r="E726" s="6">
        <v>0.5</v>
      </c>
      <c r="F726" s="6" t="s">
        <v>2573</v>
      </c>
      <c r="G726" s="6" t="s">
        <v>2574</v>
      </c>
      <c r="H726" t="s">
        <v>119</v>
      </c>
      <c r="I726" s="1" t="s">
        <v>120</v>
      </c>
      <c r="J726" s="6"/>
    </row>
    <row r="727" spans="1:10" ht="28.5" x14ac:dyDescent="0.2">
      <c r="A727" s="1" t="s">
        <v>2671</v>
      </c>
      <c r="B727" s="6">
        <v>1.4</v>
      </c>
      <c r="C727" s="6" t="s">
        <v>54</v>
      </c>
      <c r="D727" s="6" t="str">
        <f>"72/86"</f>
        <v>72/86</v>
      </c>
      <c r="E727" s="6">
        <v>0.5</v>
      </c>
      <c r="F727" s="6" t="s">
        <v>2672</v>
      </c>
      <c r="G727" s="6" t="s">
        <v>2673</v>
      </c>
      <c r="H727" t="s">
        <v>1342</v>
      </c>
      <c r="I727" s="1" t="s">
        <v>1343</v>
      </c>
      <c r="J727" s="6"/>
    </row>
    <row r="728" spans="1:10" x14ac:dyDescent="0.2">
      <c r="A728" s="1" t="s">
        <v>2755</v>
      </c>
      <c r="B728" s="6">
        <v>1.4</v>
      </c>
      <c r="C728" s="6" t="s">
        <v>54</v>
      </c>
      <c r="D728" s="6" t="str">
        <f>"226/275"</f>
        <v>226/275</v>
      </c>
      <c r="E728" s="6">
        <v>0.5</v>
      </c>
      <c r="F728" s="6" t="s">
        <v>2756</v>
      </c>
      <c r="G728" s="6" t="s">
        <v>2757</v>
      </c>
      <c r="H728" t="s">
        <v>102</v>
      </c>
      <c r="I728" s="1" t="s">
        <v>133</v>
      </c>
      <c r="J728" s="6"/>
    </row>
    <row r="729" spans="1:10" x14ac:dyDescent="0.2">
      <c r="A729" s="1" t="s">
        <v>2791</v>
      </c>
      <c r="B729" s="6">
        <v>1.4</v>
      </c>
      <c r="C729" s="6" t="s">
        <v>18</v>
      </c>
      <c r="D729" s="6" t="str">
        <f>"25/34"</f>
        <v>25/34</v>
      </c>
      <c r="E729" s="6">
        <v>0.5</v>
      </c>
      <c r="F729" s="6" t="s">
        <v>2792</v>
      </c>
      <c r="G729" s="6" t="s">
        <v>2793</v>
      </c>
      <c r="H729" t="s">
        <v>15</v>
      </c>
      <c r="I729" s="1" t="s">
        <v>338</v>
      </c>
      <c r="J729" s="6"/>
    </row>
    <row r="730" spans="1:10" ht="42.75" x14ac:dyDescent="0.2">
      <c r="A730" s="1" t="s">
        <v>121</v>
      </c>
      <c r="B730" s="6">
        <v>1.3</v>
      </c>
      <c r="C730" s="6" t="s">
        <v>54</v>
      </c>
      <c r="D730" s="6" t="str">
        <f>"291/344"</f>
        <v>291/344</v>
      </c>
      <c r="E730" s="6">
        <v>0.2</v>
      </c>
      <c r="F730" s="6" t="s">
        <v>122</v>
      </c>
      <c r="G730" s="6" t="s">
        <v>122</v>
      </c>
      <c r="H730" t="s">
        <v>123</v>
      </c>
      <c r="I730" s="1" t="s">
        <v>124</v>
      </c>
      <c r="J730" s="6"/>
    </row>
    <row r="731" spans="1:10" ht="28.5" x14ac:dyDescent="0.2">
      <c r="A731" s="1" t="s">
        <v>491</v>
      </c>
      <c r="B731" s="6">
        <v>1.3</v>
      </c>
      <c r="C731" s="6" t="s">
        <v>54</v>
      </c>
      <c r="D731" s="6" t="str">
        <f>"118/139"</f>
        <v>118/139</v>
      </c>
      <c r="E731" s="6">
        <v>0.7</v>
      </c>
      <c r="F731" s="6" t="s">
        <v>492</v>
      </c>
      <c r="G731" s="6" t="s">
        <v>493</v>
      </c>
      <c r="H731" t="s">
        <v>15</v>
      </c>
      <c r="I731" s="1" t="s">
        <v>248</v>
      </c>
      <c r="J731" s="6"/>
    </row>
    <row r="732" spans="1:10" ht="28.5" x14ac:dyDescent="0.2">
      <c r="A732" s="1" t="s">
        <v>586</v>
      </c>
      <c r="B732" s="6">
        <v>1.3</v>
      </c>
      <c r="C732" s="6" t="s">
        <v>54</v>
      </c>
      <c r="D732" s="6" t="str">
        <f>"85/100"</f>
        <v>85/100</v>
      </c>
      <c r="E732" s="6">
        <v>0.3</v>
      </c>
      <c r="F732" s="6" t="s">
        <v>587</v>
      </c>
      <c r="G732" s="6" t="s">
        <v>588</v>
      </c>
      <c r="H732" t="s">
        <v>27</v>
      </c>
      <c r="I732" s="1" t="s">
        <v>589</v>
      </c>
      <c r="J732" s="6"/>
    </row>
    <row r="733" spans="1:10" x14ac:dyDescent="0.2">
      <c r="A733" s="1" t="s">
        <v>646</v>
      </c>
      <c r="B733" s="6">
        <v>1.3</v>
      </c>
      <c r="C733" s="6" t="s">
        <v>54</v>
      </c>
      <c r="D733" s="6" t="str">
        <f>"112/137"</f>
        <v>112/137</v>
      </c>
      <c r="E733" s="6">
        <v>0.5</v>
      </c>
      <c r="F733" s="6" t="s">
        <v>647</v>
      </c>
      <c r="G733" s="6" t="s">
        <v>647</v>
      </c>
      <c r="H733" t="s">
        <v>111</v>
      </c>
      <c r="I733" s="1" t="s">
        <v>648</v>
      </c>
      <c r="J733" s="6"/>
    </row>
    <row r="734" spans="1:10" x14ac:dyDescent="0.2">
      <c r="A734" s="1" t="s">
        <v>847</v>
      </c>
      <c r="B734" s="6">
        <v>1.3</v>
      </c>
      <c r="C734" s="6" t="s">
        <v>54</v>
      </c>
      <c r="D734" s="6" t="str">
        <f>"112/137"</f>
        <v>112/137</v>
      </c>
      <c r="E734" s="6">
        <v>0.4</v>
      </c>
      <c r="F734" s="6" t="s">
        <v>848</v>
      </c>
      <c r="G734" s="6" t="s">
        <v>849</v>
      </c>
      <c r="H734" t="s">
        <v>21</v>
      </c>
      <c r="I734" s="1" t="s">
        <v>850</v>
      </c>
      <c r="J734" s="6"/>
    </row>
    <row r="735" spans="1:10" ht="28.5" x14ac:dyDescent="0.2">
      <c r="A735" s="1" t="s">
        <v>1163</v>
      </c>
      <c r="B735" s="6">
        <v>1.3</v>
      </c>
      <c r="C735" s="6" t="s">
        <v>54</v>
      </c>
      <c r="D735" s="6" t="str">
        <f>"81/107"</f>
        <v>81/107</v>
      </c>
      <c r="E735" s="6">
        <v>0.2</v>
      </c>
      <c r="F735" s="6" t="s">
        <v>1164</v>
      </c>
      <c r="G735" s="6" t="s">
        <v>1165</v>
      </c>
      <c r="H735" t="s">
        <v>27</v>
      </c>
      <c r="I735" s="1" t="s">
        <v>1166</v>
      </c>
      <c r="J735" s="6"/>
    </row>
    <row r="736" spans="1:10" x14ac:dyDescent="0.2">
      <c r="A736" s="1" t="s">
        <v>1235</v>
      </c>
      <c r="B736" s="6">
        <v>1.3</v>
      </c>
      <c r="C736" s="6" t="s">
        <v>54</v>
      </c>
      <c r="D736" s="6" t="str">
        <f>"81/107"</f>
        <v>81/107</v>
      </c>
      <c r="E736" s="6">
        <v>0.4</v>
      </c>
      <c r="F736" s="6" t="s">
        <v>1236</v>
      </c>
      <c r="G736" s="6" t="s">
        <v>1237</v>
      </c>
      <c r="H736" t="s">
        <v>102</v>
      </c>
      <c r="I736" s="1" t="s">
        <v>133</v>
      </c>
      <c r="J736" s="6"/>
    </row>
    <row r="737" spans="1:10" x14ac:dyDescent="0.2">
      <c r="A737" s="1" t="s">
        <v>1275</v>
      </c>
      <c r="B737" s="6">
        <v>1.3</v>
      </c>
      <c r="C737" s="6" t="s">
        <v>54</v>
      </c>
      <c r="D737" s="6" t="str">
        <f>"134/160"</f>
        <v>134/160</v>
      </c>
      <c r="E737" s="6">
        <v>0.3</v>
      </c>
      <c r="F737" s="6" t="s">
        <v>1276</v>
      </c>
      <c r="G737" s="6" t="s">
        <v>1277</v>
      </c>
      <c r="H737" t="s">
        <v>102</v>
      </c>
      <c r="I737" s="1" t="s">
        <v>44</v>
      </c>
      <c r="J737" s="6"/>
    </row>
    <row r="738" spans="1:10" x14ac:dyDescent="0.2">
      <c r="A738" s="1" t="s">
        <v>1364</v>
      </c>
      <c r="B738" s="6">
        <v>1.3</v>
      </c>
      <c r="C738" s="6" t="s">
        <v>54</v>
      </c>
      <c r="D738" s="6" t="str">
        <f>"56/68"</f>
        <v>56/68</v>
      </c>
      <c r="E738" s="6">
        <v>0.2</v>
      </c>
      <c r="F738" s="6" t="s">
        <v>1365</v>
      </c>
      <c r="G738" s="6" t="s">
        <v>1366</v>
      </c>
      <c r="H738" t="s">
        <v>15</v>
      </c>
      <c r="I738" s="1" t="s">
        <v>44</v>
      </c>
      <c r="J738" s="6"/>
    </row>
    <row r="739" spans="1:10" ht="28.5" x14ac:dyDescent="0.2">
      <c r="A739" s="1" t="s">
        <v>1404</v>
      </c>
      <c r="B739" s="6">
        <v>1.3</v>
      </c>
      <c r="C739" s="6" t="s">
        <v>54</v>
      </c>
      <c r="D739" s="6" t="str">
        <f>"116/136"</f>
        <v>116/136</v>
      </c>
      <c r="E739" s="6">
        <v>0.3</v>
      </c>
      <c r="F739" s="6" t="s">
        <v>1405</v>
      </c>
      <c r="G739" s="6" t="s">
        <v>1406</v>
      </c>
      <c r="H739" t="s">
        <v>299</v>
      </c>
      <c r="I739" s="1" t="s">
        <v>133</v>
      </c>
      <c r="J739" s="6"/>
    </row>
    <row r="740" spans="1:10" x14ac:dyDescent="0.2">
      <c r="A740" s="1" t="s">
        <v>1607</v>
      </c>
      <c r="B740" s="6">
        <v>1.3</v>
      </c>
      <c r="C740" s="6" t="s">
        <v>54</v>
      </c>
      <c r="D740" s="6" t="str">
        <f>"53/63"</f>
        <v>53/63</v>
      </c>
      <c r="E740" s="6">
        <v>0.4</v>
      </c>
      <c r="F740" s="6" t="s">
        <v>1608</v>
      </c>
      <c r="G740" s="6" t="s">
        <v>1609</v>
      </c>
      <c r="H740" t="s">
        <v>15</v>
      </c>
      <c r="I740" s="1" t="s">
        <v>430</v>
      </c>
      <c r="J740" s="6"/>
    </row>
    <row r="741" spans="1:10" x14ac:dyDescent="0.2">
      <c r="A741" s="1" t="s">
        <v>1623</v>
      </c>
      <c r="B741" s="6">
        <v>1.3</v>
      </c>
      <c r="C741" s="6" t="s">
        <v>54</v>
      </c>
      <c r="D741" s="6" t="str">
        <f>"232/275"</f>
        <v>232/275</v>
      </c>
      <c r="E741" s="6">
        <v>0.3</v>
      </c>
      <c r="F741" s="6" t="s">
        <v>1624</v>
      </c>
      <c r="G741" s="6" t="s">
        <v>1625</v>
      </c>
      <c r="H741" t="s">
        <v>15</v>
      </c>
      <c r="I741" s="1" t="s">
        <v>44</v>
      </c>
      <c r="J741" s="6"/>
    </row>
    <row r="742" spans="1:10" x14ac:dyDescent="0.2">
      <c r="A742" s="1" t="s">
        <v>1660</v>
      </c>
      <c r="B742" s="6">
        <v>1.3</v>
      </c>
      <c r="C742" s="6" t="s">
        <v>54</v>
      </c>
      <c r="D742" s="6" t="str">
        <f>"28/34"</f>
        <v>28/34</v>
      </c>
      <c r="E742" s="6">
        <v>0.1</v>
      </c>
      <c r="F742" s="6" t="s">
        <v>1661</v>
      </c>
      <c r="G742" s="6" t="s">
        <v>1662</v>
      </c>
      <c r="H742" t="s">
        <v>15</v>
      </c>
      <c r="I742" s="1" t="s">
        <v>44</v>
      </c>
      <c r="J742" s="6"/>
    </row>
    <row r="743" spans="1:10" x14ac:dyDescent="0.2">
      <c r="A743" s="1" t="s">
        <v>1760</v>
      </c>
      <c r="B743" s="6">
        <v>1.3</v>
      </c>
      <c r="C743" s="6" t="s">
        <v>54</v>
      </c>
      <c r="D743" s="6" t="str">
        <f>"75/86"</f>
        <v>75/86</v>
      </c>
      <c r="E743" s="6">
        <v>0.1</v>
      </c>
      <c r="F743" s="6" t="s">
        <v>1761</v>
      </c>
      <c r="G743" s="6" t="s">
        <v>1762</v>
      </c>
      <c r="H743" t="s">
        <v>27</v>
      </c>
      <c r="I743" s="1" t="s">
        <v>69</v>
      </c>
      <c r="J743" s="6"/>
    </row>
    <row r="744" spans="1:10" x14ac:dyDescent="0.2">
      <c r="A744" s="1" t="s">
        <v>1834</v>
      </c>
      <c r="B744" s="6">
        <v>1.3</v>
      </c>
      <c r="C744" s="6" t="s">
        <v>54</v>
      </c>
      <c r="D744" s="6" t="str">
        <f>"232/275"</f>
        <v>232/275</v>
      </c>
      <c r="E744" s="6">
        <v>0.2</v>
      </c>
      <c r="F744" s="6" t="s">
        <v>1835</v>
      </c>
      <c r="G744" s="6" t="s">
        <v>1836</v>
      </c>
      <c r="H744" t="s">
        <v>15</v>
      </c>
      <c r="I744" s="1" t="s">
        <v>16</v>
      </c>
      <c r="J744" s="6"/>
    </row>
    <row r="745" spans="1:10" ht="28.5" x14ac:dyDescent="0.2">
      <c r="A745" s="1" t="s">
        <v>2049</v>
      </c>
      <c r="B745" s="6">
        <v>1.3</v>
      </c>
      <c r="C745" s="6" t="s">
        <v>54</v>
      </c>
      <c r="D745" s="6" t="str">
        <f>"232/275"</f>
        <v>232/275</v>
      </c>
      <c r="E745" s="6">
        <v>0.6</v>
      </c>
      <c r="F745" s="6" t="s">
        <v>2050</v>
      </c>
      <c r="G745" s="6" t="s">
        <v>2050</v>
      </c>
      <c r="H745" t="s">
        <v>27</v>
      </c>
      <c r="I745" s="1" t="s">
        <v>512</v>
      </c>
      <c r="J745" s="6"/>
    </row>
    <row r="746" spans="1:10" x14ac:dyDescent="0.2">
      <c r="A746" s="1" t="s">
        <v>2382</v>
      </c>
      <c r="B746" s="6">
        <v>1.3</v>
      </c>
      <c r="C746" s="6" t="s">
        <v>54</v>
      </c>
      <c r="D746" s="6" t="str">
        <f>"232/275"</f>
        <v>232/275</v>
      </c>
      <c r="E746" s="6">
        <v>0.2</v>
      </c>
      <c r="F746" s="6" t="s">
        <v>2383</v>
      </c>
      <c r="G746" s="6" t="s">
        <v>2383</v>
      </c>
      <c r="H746" t="s">
        <v>107</v>
      </c>
      <c r="I746" s="1" t="s">
        <v>2384</v>
      </c>
      <c r="J746" s="6"/>
    </row>
    <row r="747" spans="1:10" x14ac:dyDescent="0.2">
      <c r="A747" s="1" t="s">
        <v>2506</v>
      </c>
      <c r="B747" s="6">
        <v>1.3</v>
      </c>
      <c r="C747" s="6" t="s">
        <v>54</v>
      </c>
      <c r="D747" s="6" t="str">
        <f>"81/107"</f>
        <v>81/107</v>
      </c>
      <c r="E747" s="6">
        <v>0.3</v>
      </c>
      <c r="F747" s="6" t="s">
        <v>2507</v>
      </c>
      <c r="G747" s="6" t="s">
        <v>2508</v>
      </c>
      <c r="H747" t="s">
        <v>15</v>
      </c>
      <c r="I747" s="1" t="s">
        <v>44</v>
      </c>
      <c r="J747" s="6"/>
    </row>
    <row r="748" spans="1:10" x14ac:dyDescent="0.2">
      <c r="A748" s="1" t="s">
        <v>381</v>
      </c>
      <c r="B748" s="6">
        <v>1.2</v>
      </c>
      <c r="C748" s="6" t="s">
        <v>54</v>
      </c>
      <c r="D748" s="6" t="str">
        <f>"77/86"</f>
        <v>77/86</v>
      </c>
      <c r="E748" s="6">
        <v>0.2</v>
      </c>
      <c r="F748" s="6" t="s">
        <v>382</v>
      </c>
      <c r="G748" s="6" t="s">
        <v>383</v>
      </c>
      <c r="H748" t="s">
        <v>102</v>
      </c>
      <c r="I748" s="1" t="s">
        <v>133</v>
      </c>
      <c r="J748" s="6"/>
    </row>
    <row r="749" spans="1:10" ht="28.5" x14ac:dyDescent="0.2">
      <c r="A749" s="1" t="s">
        <v>500</v>
      </c>
      <c r="B749" s="6">
        <v>1.2</v>
      </c>
      <c r="C749" s="6" t="s">
        <v>54</v>
      </c>
      <c r="D749" s="6" t="str">
        <f>"120/139"</f>
        <v>120/139</v>
      </c>
      <c r="E749" s="6">
        <v>0.9</v>
      </c>
      <c r="F749" s="6" t="s">
        <v>501</v>
      </c>
      <c r="G749" s="6" t="s">
        <v>502</v>
      </c>
      <c r="H749" t="s">
        <v>15</v>
      </c>
      <c r="I749" s="1" t="s">
        <v>248</v>
      </c>
      <c r="J749" s="6"/>
    </row>
    <row r="750" spans="1:10" x14ac:dyDescent="0.2">
      <c r="A750" s="1" t="s">
        <v>620</v>
      </c>
      <c r="B750" s="6">
        <v>1.2</v>
      </c>
      <c r="C750" s="6" t="s">
        <v>18</v>
      </c>
      <c r="D750" s="6" t="str">
        <f>"22/34"</f>
        <v>22/34</v>
      </c>
      <c r="E750" s="6">
        <v>0.1</v>
      </c>
      <c r="F750" s="6" t="s">
        <v>621</v>
      </c>
      <c r="G750" s="6" t="s">
        <v>622</v>
      </c>
      <c r="H750" t="s">
        <v>151</v>
      </c>
      <c r="I750" s="1" t="s">
        <v>152</v>
      </c>
      <c r="J750" s="6"/>
    </row>
    <row r="751" spans="1:10" x14ac:dyDescent="0.2">
      <c r="A751" s="1" t="s">
        <v>626</v>
      </c>
      <c r="B751" s="6">
        <v>1.2</v>
      </c>
      <c r="C751" s="6" t="s">
        <v>18</v>
      </c>
      <c r="D751" s="6" t="str">
        <f>"22/34"</f>
        <v>22/34</v>
      </c>
      <c r="E751" s="6">
        <v>0.3</v>
      </c>
      <c r="F751" s="6" t="s">
        <v>627</v>
      </c>
      <c r="G751" s="6" t="s">
        <v>628</v>
      </c>
      <c r="H751" t="s">
        <v>27</v>
      </c>
      <c r="I751" s="1" t="s">
        <v>69</v>
      </c>
      <c r="J751" s="6"/>
    </row>
    <row r="752" spans="1:10" x14ac:dyDescent="0.2">
      <c r="A752" s="1" t="s">
        <v>749</v>
      </c>
      <c r="B752" s="6">
        <v>1.2</v>
      </c>
      <c r="C752" s="6" t="s">
        <v>54</v>
      </c>
      <c r="D752" s="6" t="str">
        <f>"117/137"</f>
        <v>117/137</v>
      </c>
      <c r="E752" s="6">
        <v>0.2</v>
      </c>
      <c r="F752" s="6" t="s">
        <v>750</v>
      </c>
      <c r="G752" s="6" t="s">
        <v>751</v>
      </c>
      <c r="H752" t="s">
        <v>319</v>
      </c>
      <c r="I752" s="1" t="s">
        <v>320</v>
      </c>
      <c r="J752" s="6"/>
    </row>
    <row r="753" spans="1:10" x14ac:dyDescent="0.2">
      <c r="A753" s="1" t="s">
        <v>780</v>
      </c>
      <c r="B753" s="6">
        <v>1.2</v>
      </c>
      <c r="C753" s="6" t="s">
        <v>54</v>
      </c>
      <c r="D753" s="6" t="str">
        <f>"89/107"</f>
        <v>89/107</v>
      </c>
      <c r="E753" s="6">
        <v>0.2</v>
      </c>
      <c r="F753" s="6" t="s">
        <v>781</v>
      </c>
      <c r="G753" s="6" t="s">
        <v>782</v>
      </c>
      <c r="H753" t="s">
        <v>15</v>
      </c>
      <c r="I753" s="1" t="s">
        <v>271</v>
      </c>
      <c r="J753" s="6"/>
    </row>
    <row r="754" spans="1:10" x14ac:dyDescent="0.2">
      <c r="A754" s="1" t="s">
        <v>789</v>
      </c>
      <c r="B754" s="6">
        <v>1.2</v>
      </c>
      <c r="C754" s="6" t="s">
        <v>18</v>
      </c>
      <c r="D754" s="6" t="str">
        <f>"146/267"</f>
        <v>146/267</v>
      </c>
      <c r="E754" s="6">
        <v>0.1</v>
      </c>
      <c r="F754" s="6" t="s">
        <v>790</v>
      </c>
      <c r="G754" s="6" t="s">
        <v>791</v>
      </c>
      <c r="H754" t="s">
        <v>10</v>
      </c>
      <c r="I754" s="1" t="s">
        <v>361</v>
      </c>
      <c r="J754" s="6"/>
    </row>
    <row r="755" spans="1:10" x14ac:dyDescent="0.2">
      <c r="A755" s="1" t="s">
        <v>827</v>
      </c>
      <c r="B755" s="6">
        <v>1.2</v>
      </c>
      <c r="C755" s="6" t="s">
        <v>54</v>
      </c>
      <c r="D755" s="6" t="str">
        <f>"117/137"</f>
        <v>117/137</v>
      </c>
      <c r="E755" s="6">
        <v>0.7</v>
      </c>
      <c r="F755" s="6" t="s">
        <v>828</v>
      </c>
      <c r="G755" s="6" t="s">
        <v>828</v>
      </c>
      <c r="H755" t="s">
        <v>829</v>
      </c>
      <c r="I755" s="1" t="s">
        <v>830</v>
      </c>
      <c r="J755" s="6"/>
    </row>
    <row r="756" spans="1:10" ht="28.5" x14ac:dyDescent="0.2">
      <c r="A756" s="1" t="s">
        <v>896</v>
      </c>
      <c r="B756" s="6">
        <v>1.2</v>
      </c>
      <c r="C756" s="6" t="s">
        <v>54</v>
      </c>
      <c r="D756" s="6" t="str">
        <f>"55/63"</f>
        <v>55/63</v>
      </c>
      <c r="E756" s="6">
        <v>0.2</v>
      </c>
      <c r="F756" s="6" t="s">
        <v>897</v>
      </c>
      <c r="G756" s="6" t="s">
        <v>897</v>
      </c>
      <c r="H756" t="s">
        <v>111</v>
      </c>
      <c r="I756" s="1" t="s">
        <v>898</v>
      </c>
      <c r="J756" s="6"/>
    </row>
    <row r="757" spans="1:10" x14ac:dyDescent="0.2">
      <c r="A757" s="1" t="s">
        <v>956</v>
      </c>
      <c r="B757" s="6">
        <v>1.2</v>
      </c>
      <c r="C757" s="6" t="s">
        <v>54</v>
      </c>
      <c r="D757" s="6" t="str">
        <f>"77/86"</f>
        <v>77/86</v>
      </c>
      <c r="E757" s="6">
        <v>0.6</v>
      </c>
      <c r="F757" s="6" t="s">
        <v>957</v>
      </c>
      <c r="G757" s="6" t="s">
        <v>958</v>
      </c>
      <c r="H757" t="s">
        <v>51</v>
      </c>
      <c r="I757" s="1" t="s">
        <v>361</v>
      </c>
      <c r="J757" s="6"/>
    </row>
    <row r="758" spans="1:10" x14ac:dyDescent="0.2">
      <c r="A758" s="1" t="s">
        <v>1057</v>
      </c>
      <c r="B758" s="6">
        <v>1.2</v>
      </c>
      <c r="C758" s="6" t="s">
        <v>18</v>
      </c>
      <c r="D758" s="6" t="str">
        <f>"22/34"</f>
        <v>22/34</v>
      </c>
      <c r="E758" s="6">
        <v>0.2</v>
      </c>
      <c r="F758" s="6" t="s">
        <v>1058</v>
      </c>
      <c r="G758" s="6" t="s">
        <v>1059</v>
      </c>
      <c r="H758" t="s">
        <v>111</v>
      </c>
      <c r="I758" s="1" t="s">
        <v>44</v>
      </c>
      <c r="J758" s="6"/>
    </row>
    <row r="759" spans="1:10" ht="42.75" x14ac:dyDescent="0.2">
      <c r="A759" s="1" t="s">
        <v>1756</v>
      </c>
      <c r="B759" s="6">
        <v>1.2</v>
      </c>
      <c r="C759" s="6" t="s">
        <v>54</v>
      </c>
      <c r="D759" s="6" t="str">
        <f>"295/344"</f>
        <v>295/344</v>
      </c>
      <c r="E759" s="6">
        <v>0.1</v>
      </c>
      <c r="F759" s="6" t="s">
        <v>1757</v>
      </c>
      <c r="G759" s="6" t="s">
        <v>1758</v>
      </c>
      <c r="H759" t="s">
        <v>226</v>
      </c>
      <c r="I759" s="1" t="s">
        <v>1759</v>
      </c>
      <c r="J759" s="6"/>
    </row>
    <row r="760" spans="1:10" ht="42.75" x14ac:dyDescent="0.2">
      <c r="A760" s="1" t="s">
        <v>2512</v>
      </c>
      <c r="B760" s="6">
        <v>1.2</v>
      </c>
      <c r="C760" s="6" t="s">
        <v>54</v>
      </c>
      <c r="D760" s="6" t="str">
        <f>"72/90"</f>
        <v>72/90</v>
      </c>
      <c r="E760" s="6">
        <v>0.3</v>
      </c>
      <c r="F760" s="6" t="s">
        <v>2513</v>
      </c>
      <c r="G760" s="6" t="s">
        <v>2514</v>
      </c>
      <c r="H760" t="s">
        <v>144</v>
      </c>
      <c r="I760" s="1" t="s">
        <v>1736</v>
      </c>
      <c r="J760" s="6"/>
    </row>
    <row r="761" spans="1:10" ht="28.5" x14ac:dyDescent="0.2">
      <c r="A761" s="1" t="s">
        <v>2548</v>
      </c>
      <c r="B761" s="6">
        <v>1.2</v>
      </c>
      <c r="C761" s="6" t="s">
        <v>54</v>
      </c>
      <c r="D761" s="6" t="str">
        <f>"237/275"</f>
        <v>237/275</v>
      </c>
      <c r="E761" s="6">
        <v>0.9</v>
      </c>
      <c r="F761" s="6" t="s">
        <v>2549</v>
      </c>
      <c r="G761" s="6" t="s">
        <v>2550</v>
      </c>
      <c r="H761" t="s">
        <v>51</v>
      </c>
      <c r="I761" s="1" t="s">
        <v>512</v>
      </c>
      <c r="J761" s="6"/>
    </row>
    <row r="762" spans="1:10" ht="42.75" x14ac:dyDescent="0.2">
      <c r="A762" s="1" t="s">
        <v>2578</v>
      </c>
      <c r="B762" s="6">
        <v>1.2</v>
      </c>
      <c r="C762" s="6" t="s">
        <v>54</v>
      </c>
      <c r="D762" s="6" t="str">
        <f>"72/90"</f>
        <v>72/90</v>
      </c>
      <c r="E762" s="6">
        <v>0.5</v>
      </c>
      <c r="F762" s="6" t="s">
        <v>2579</v>
      </c>
      <c r="G762" s="6" t="s">
        <v>2580</v>
      </c>
      <c r="H762" t="s">
        <v>528</v>
      </c>
      <c r="I762" s="1" t="s">
        <v>2581</v>
      </c>
      <c r="J762" s="6"/>
    </row>
    <row r="763" spans="1:10" x14ac:dyDescent="0.2">
      <c r="A763" s="1" t="s">
        <v>2657</v>
      </c>
      <c r="B763" s="6">
        <v>1.2</v>
      </c>
      <c r="C763" s="6" t="s">
        <v>54</v>
      </c>
      <c r="D763" s="6" t="str">
        <f>"72/90"</f>
        <v>72/90</v>
      </c>
      <c r="E763" s="6">
        <v>0.3</v>
      </c>
      <c r="F763" s="6" t="s">
        <v>2658</v>
      </c>
      <c r="G763" s="6" t="s">
        <v>2659</v>
      </c>
      <c r="H763" t="s">
        <v>27</v>
      </c>
      <c r="I763" s="1" t="s">
        <v>1038</v>
      </c>
      <c r="J763" s="6"/>
    </row>
    <row r="764" spans="1:10" ht="28.5" x14ac:dyDescent="0.2">
      <c r="A764" s="1" t="s">
        <v>2683</v>
      </c>
      <c r="B764" s="6">
        <v>1.2</v>
      </c>
      <c r="C764" s="6" t="s">
        <v>18</v>
      </c>
      <c r="D764" s="6" t="str">
        <f>"146/267"</f>
        <v>146/267</v>
      </c>
      <c r="E764" s="6">
        <v>0.3</v>
      </c>
      <c r="F764" s="6" t="s">
        <v>2684</v>
      </c>
      <c r="G764" s="6" t="s">
        <v>2684</v>
      </c>
      <c r="H764" t="s">
        <v>528</v>
      </c>
      <c r="I764" s="1" t="s">
        <v>2685</v>
      </c>
      <c r="J764" s="6"/>
    </row>
    <row r="765" spans="1:10" x14ac:dyDescent="0.2">
      <c r="A765" s="1" t="s">
        <v>2752</v>
      </c>
      <c r="B765" s="6">
        <v>1.2</v>
      </c>
      <c r="C765" s="6" t="s">
        <v>18</v>
      </c>
      <c r="D765" s="6" t="str">
        <f>"146/267"</f>
        <v>146/267</v>
      </c>
      <c r="E765" s="6">
        <v>0.2</v>
      </c>
      <c r="F765" s="6" t="s">
        <v>2753</v>
      </c>
      <c r="G765" s="6" t="s">
        <v>2754</v>
      </c>
      <c r="H765" t="s">
        <v>292</v>
      </c>
      <c r="I765" s="1" t="s">
        <v>133</v>
      </c>
      <c r="J765" s="6"/>
    </row>
    <row r="766" spans="1:10" ht="28.5" x14ac:dyDescent="0.2">
      <c r="A766" s="1" t="s">
        <v>53</v>
      </c>
      <c r="B766" s="6">
        <v>1.1000000000000001</v>
      </c>
      <c r="C766" s="6" t="s">
        <v>54</v>
      </c>
      <c r="D766" s="6" t="str">
        <f>"242/275"</f>
        <v>242/275</v>
      </c>
      <c r="E766" s="6">
        <v>0.3</v>
      </c>
      <c r="F766" s="6" t="s">
        <v>55</v>
      </c>
      <c r="G766" s="6" t="s">
        <v>56</v>
      </c>
      <c r="H766" t="s">
        <v>57</v>
      </c>
      <c r="I766" s="1" t="s">
        <v>58</v>
      </c>
      <c r="J766" s="6"/>
    </row>
    <row r="767" spans="1:10" ht="28.5" x14ac:dyDescent="0.2">
      <c r="A767" s="1" t="s">
        <v>109</v>
      </c>
      <c r="B767" s="6">
        <v>1.1000000000000001</v>
      </c>
      <c r="C767" s="6" t="s">
        <v>54</v>
      </c>
      <c r="D767" s="6" t="str">
        <f>"28/34"</f>
        <v>28/34</v>
      </c>
      <c r="E767" s="6">
        <v>0.3</v>
      </c>
      <c r="F767" s="6" t="s">
        <v>110</v>
      </c>
      <c r="G767" s="6" t="s">
        <v>110</v>
      </c>
      <c r="H767" t="s">
        <v>111</v>
      </c>
      <c r="I767" s="1" t="s">
        <v>112</v>
      </c>
      <c r="J767" s="6"/>
    </row>
    <row r="768" spans="1:10" x14ac:dyDescent="0.2">
      <c r="A768" s="1" t="s">
        <v>204</v>
      </c>
      <c r="B768" s="6">
        <v>1.1000000000000001</v>
      </c>
      <c r="C768" s="6" t="s">
        <v>54</v>
      </c>
      <c r="D768" s="6" t="str">
        <f>"57/68"</f>
        <v>57/68</v>
      </c>
      <c r="E768" s="6">
        <v>0.2</v>
      </c>
      <c r="F768" s="6" t="s">
        <v>205</v>
      </c>
      <c r="G768" s="6" t="s">
        <v>206</v>
      </c>
      <c r="H768" t="s">
        <v>15</v>
      </c>
      <c r="I768" s="1" t="s">
        <v>44</v>
      </c>
      <c r="J768" s="6"/>
    </row>
    <row r="769" spans="1:10" x14ac:dyDescent="0.2">
      <c r="A769" s="1" t="s">
        <v>308</v>
      </c>
      <c r="B769" s="6">
        <v>1.1000000000000001</v>
      </c>
      <c r="C769" s="6" t="s">
        <v>18</v>
      </c>
      <c r="D769" s="6" t="str">
        <f>"25/34"</f>
        <v>25/34</v>
      </c>
      <c r="E769" s="6">
        <v>0.3</v>
      </c>
      <c r="F769" s="6" t="s">
        <v>309</v>
      </c>
      <c r="G769" s="6" t="s">
        <v>310</v>
      </c>
      <c r="H769" t="s">
        <v>27</v>
      </c>
      <c r="I769" s="1" t="s">
        <v>285</v>
      </c>
      <c r="J769" s="6"/>
    </row>
    <row r="770" spans="1:10" ht="28.5" x14ac:dyDescent="0.2">
      <c r="A770" s="1" t="s">
        <v>377</v>
      </c>
      <c r="B770" s="6">
        <v>1.1000000000000001</v>
      </c>
      <c r="C770" s="6" t="s">
        <v>54</v>
      </c>
      <c r="D770" s="6" t="str">
        <f>"242/275"</f>
        <v>242/275</v>
      </c>
      <c r="E770" s="6">
        <v>0.2</v>
      </c>
      <c r="F770" s="6" t="s">
        <v>378</v>
      </c>
      <c r="G770" s="6" t="s">
        <v>60</v>
      </c>
      <c r="H770" t="s">
        <v>379</v>
      </c>
      <c r="I770" s="1" t="s">
        <v>380</v>
      </c>
      <c r="J770" s="6"/>
    </row>
    <row r="771" spans="1:10" ht="28.5" x14ac:dyDescent="0.2">
      <c r="A771" s="1" t="s">
        <v>461</v>
      </c>
      <c r="B771" s="6">
        <v>1.1000000000000001</v>
      </c>
      <c r="C771" s="6" t="s">
        <v>54</v>
      </c>
      <c r="D771" s="6" t="str">
        <f>"28/34"</f>
        <v>28/34</v>
      </c>
      <c r="E771" s="6">
        <v>0.1</v>
      </c>
      <c r="F771" s="6" t="s">
        <v>462</v>
      </c>
      <c r="G771" s="6" t="s">
        <v>463</v>
      </c>
      <c r="H771" t="s">
        <v>15</v>
      </c>
      <c r="I771" s="1" t="s">
        <v>36</v>
      </c>
      <c r="J771" s="6"/>
    </row>
    <row r="772" spans="1:10" ht="28.5" x14ac:dyDescent="0.2">
      <c r="A772" s="1" t="s">
        <v>482</v>
      </c>
      <c r="B772" s="6">
        <v>1.1000000000000001</v>
      </c>
      <c r="C772" s="6" t="s">
        <v>54</v>
      </c>
      <c r="D772" s="6" t="str">
        <f>"122/139"</f>
        <v>122/139</v>
      </c>
      <c r="E772" s="6">
        <v>0.6</v>
      </c>
      <c r="F772" s="6" t="s">
        <v>483</v>
      </c>
      <c r="G772" s="6" t="s">
        <v>484</v>
      </c>
      <c r="H772" t="s">
        <v>15</v>
      </c>
      <c r="I772" s="1" t="s">
        <v>248</v>
      </c>
      <c r="J772" s="6"/>
    </row>
    <row r="773" spans="1:10" x14ac:dyDescent="0.2">
      <c r="A773" s="1" t="s">
        <v>503</v>
      </c>
      <c r="B773" s="6">
        <v>1.1000000000000001</v>
      </c>
      <c r="C773" s="6" t="s">
        <v>54</v>
      </c>
      <c r="D773" s="6" t="str">
        <f>"110/119"</f>
        <v>110/119</v>
      </c>
      <c r="E773" s="6">
        <v>1</v>
      </c>
      <c r="F773" s="6" t="s">
        <v>504</v>
      </c>
      <c r="G773" s="6" t="s">
        <v>505</v>
      </c>
      <c r="H773" t="s">
        <v>15</v>
      </c>
      <c r="I773" s="1" t="s">
        <v>248</v>
      </c>
      <c r="J773" s="6"/>
    </row>
    <row r="774" spans="1:10" x14ac:dyDescent="0.2">
      <c r="A774" s="1" t="s">
        <v>516</v>
      </c>
      <c r="B774" s="6">
        <v>1.1000000000000001</v>
      </c>
      <c r="C774" s="6" t="s">
        <v>18</v>
      </c>
      <c r="D774" s="6" t="str">
        <f>"82/125"</f>
        <v>82/125</v>
      </c>
      <c r="E774" s="6">
        <v>0.4</v>
      </c>
      <c r="F774" s="6" t="s">
        <v>517</v>
      </c>
      <c r="G774" s="6" t="s">
        <v>518</v>
      </c>
      <c r="H774" t="s">
        <v>27</v>
      </c>
      <c r="I774" s="1" t="s">
        <v>338</v>
      </c>
      <c r="J774" s="6"/>
    </row>
    <row r="775" spans="1:10" ht="28.5" x14ac:dyDescent="0.2">
      <c r="A775" s="1" t="s">
        <v>546</v>
      </c>
      <c r="B775" s="6">
        <v>1.1000000000000001</v>
      </c>
      <c r="C775" s="6" t="s">
        <v>54</v>
      </c>
      <c r="D775" s="6" t="str">
        <f>"57/68"</f>
        <v>57/68</v>
      </c>
      <c r="E775" s="6">
        <v>0.1</v>
      </c>
      <c r="F775" s="6" t="s">
        <v>547</v>
      </c>
      <c r="G775" s="6" t="s">
        <v>547</v>
      </c>
      <c r="H775" t="s">
        <v>27</v>
      </c>
      <c r="I775" s="1" t="s">
        <v>548</v>
      </c>
      <c r="J775" s="6"/>
    </row>
    <row r="776" spans="1:10" x14ac:dyDescent="0.2">
      <c r="A776" s="1" t="s">
        <v>599</v>
      </c>
      <c r="B776" s="6">
        <v>1.1000000000000001</v>
      </c>
      <c r="C776" s="6" t="s">
        <v>54</v>
      </c>
      <c r="D776" s="6" t="str">
        <f>"81/86"</f>
        <v>81/86</v>
      </c>
      <c r="E776" s="6">
        <v>0.2</v>
      </c>
      <c r="F776" s="6" t="s">
        <v>600</v>
      </c>
      <c r="G776" s="6" t="s">
        <v>601</v>
      </c>
      <c r="H776" t="s">
        <v>102</v>
      </c>
      <c r="I776" s="1" t="s">
        <v>103</v>
      </c>
      <c r="J776" s="6"/>
    </row>
    <row r="777" spans="1:10" x14ac:dyDescent="0.2">
      <c r="A777" s="1" t="s">
        <v>721</v>
      </c>
      <c r="B777" s="6">
        <v>1.1000000000000001</v>
      </c>
      <c r="C777" s="6" t="s">
        <v>54</v>
      </c>
      <c r="D777" s="6" t="str">
        <f>"242/275"</f>
        <v>242/275</v>
      </c>
      <c r="E777" s="6">
        <v>0.2</v>
      </c>
      <c r="F777" s="6" t="s">
        <v>722</v>
      </c>
      <c r="G777" s="6" t="s">
        <v>723</v>
      </c>
      <c r="H777" t="s">
        <v>15</v>
      </c>
      <c r="I777" s="1" t="s">
        <v>248</v>
      </c>
      <c r="J777" s="6"/>
    </row>
    <row r="778" spans="1:10" ht="28.5" x14ac:dyDescent="0.2">
      <c r="A778" s="1" t="s">
        <v>923</v>
      </c>
      <c r="B778" s="6">
        <v>1.1000000000000001</v>
      </c>
      <c r="C778" s="6" t="s">
        <v>54</v>
      </c>
      <c r="D778" s="6" t="str">
        <f>"75/90"</f>
        <v>75/90</v>
      </c>
      <c r="E778" s="6">
        <v>0.3</v>
      </c>
      <c r="F778" s="6" t="s">
        <v>924</v>
      </c>
      <c r="G778" s="6" t="s">
        <v>925</v>
      </c>
      <c r="H778" t="s">
        <v>57</v>
      </c>
      <c r="I778" s="1" t="s">
        <v>926</v>
      </c>
      <c r="J778" s="6"/>
    </row>
    <row r="779" spans="1:10" x14ac:dyDescent="0.2">
      <c r="A779" s="1" t="s">
        <v>934</v>
      </c>
      <c r="B779" s="6">
        <v>1.1000000000000001</v>
      </c>
      <c r="C779" s="6" t="s">
        <v>54</v>
      </c>
      <c r="D779" s="6" t="str">
        <f>"75/90"</f>
        <v>75/90</v>
      </c>
      <c r="E779" s="6">
        <v>0.2</v>
      </c>
      <c r="F779" s="6" t="s">
        <v>935</v>
      </c>
      <c r="G779" s="6" t="s">
        <v>936</v>
      </c>
      <c r="H779" t="s">
        <v>932</v>
      </c>
      <c r="I779" s="1" t="s">
        <v>44</v>
      </c>
      <c r="J779" s="6"/>
    </row>
    <row r="780" spans="1:10" x14ac:dyDescent="0.2">
      <c r="A780" s="1" t="s">
        <v>1198</v>
      </c>
      <c r="B780" s="6">
        <v>1.1000000000000001</v>
      </c>
      <c r="C780" s="6" t="s">
        <v>18</v>
      </c>
      <c r="D780" s="6" t="str">
        <f>"25/34"</f>
        <v>25/34</v>
      </c>
      <c r="E780" s="6">
        <v>0.6</v>
      </c>
      <c r="F780" s="6" t="s">
        <v>1199</v>
      </c>
      <c r="G780" s="6" t="s">
        <v>1200</v>
      </c>
      <c r="H780" t="s">
        <v>27</v>
      </c>
      <c r="I780" s="1" t="s">
        <v>133</v>
      </c>
      <c r="J780" s="6"/>
    </row>
    <row r="781" spans="1:10" ht="28.5" x14ac:dyDescent="0.2">
      <c r="A781" s="1" t="s">
        <v>1272</v>
      </c>
      <c r="B781" s="6">
        <v>1.1000000000000001</v>
      </c>
      <c r="C781" s="6" t="s">
        <v>54</v>
      </c>
      <c r="D781" s="6" t="str">
        <f>"242/275"</f>
        <v>242/275</v>
      </c>
      <c r="E781" s="6">
        <v>0.3</v>
      </c>
      <c r="F781" s="6" t="s">
        <v>1273</v>
      </c>
      <c r="G781" s="6" t="s">
        <v>1274</v>
      </c>
      <c r="H781" t="s">
        <v>27</v>
      </c>
      <c r="I781" s="1" t="s">
        <v>589</v>
      </c>
      <c r="J781" s="6"/>
    </row>
    <row r="782" spans="1:10" ht="28.5" x14ac:dyDescent="0.2">
      <c r="A782" s="1" t="s">
        <v>1560</v>
      </c>
      <c r="B782" s="6">
        <v>1.1000000000000001</v>
      </c>
      <c r="C782" s="6" t="s">
        <v>54</v>
      </c>
      <c r="D782" s="6" t="str">
        <f>"45/50"</f>
        <v>45/50</v>
      </c>
      <c r="E782" s="6">
        <v>0.1</v>
      </c>
      <c r="F782" s="6" t="s">
        <v>1561</v>
      </c>
      <c r="G782" s="6" t="s">
        <v>1562</v>
      </c>
      <c r="H782" t="s">
        <v>27</v>
      </c>
      <c r="I782" s="1" t="s">
        <v>1563</v>
      </c>
      <c r="J782" s="6"/>
    </row>
    <row r="783" spans="1:10" ht="28.5" x14ac:dyDescent="0.2">
      <c r="A783" s="1" t="s">
        <v>1740</v>
      </c>
      <c r="B783" s="6">
        <v>1.1000000000000001</v>
      </c>
      <c r="C783" s="6" t="s">
        <v>54</v>
      </c>
      <c r="D783" s="6" t="str">
        <f>"25/32"</f>
        <v>25/32</v>
      </c>
      <c r="E783" s="6">
        <v>0.1</v>
      </c>
      <c r="F783" s="6" t="s">
        <v>1741</v>
      </c>
      <c r="G783" s="6" t="s">
        <v>1742</v>
      </c>
      <c r="H783" t="s">
        <v>15</v>
      </c>
      <c r="I783" s="1" t="s">
        <v>1743</v>
      </c>
      <c r="J783" s="6"/>
    </row>
    <row r="784" spans="1:10" ht="28.5" x14ac:dyDescent="0.2">
      <c r="A784" s="1" t="s">
        <v>2137</v>
      </c>
      <c r="B784" s="6">
        <v>1.1000000000000001</v>
      </c>
      <c r="C784" s="6" t="s">
        <v>54</v>
      </c>
      <c r="D784" s="6" t="str">
        <f>"122/139"</f>
        <v>122/139</v>
      </c>
      <c r="E784" s="6">
        <v>0.1</v>
      </c>
      <c r="F784" s="6" t="s">
        <v>2138</v>
      </c>
      <c r="G784" s="6" t="s">
        <v>2139</v>
      </c>
      <c r="H784" t="s">
        <v>123</v>
      </c>
      <c r="I784" s="1" t="s">
        <v>2140</v>
      </c>
      <c r="J784" s="6"/>
    </row>
    <row r="785" spans="1:10" x14ac:dyDescent="0.2">
      <c r="A785" s="1" t="s">
        <v>2198</v>
      </c>
      <c r="B785" s="6">
        <v>1.1000000000000001</v>
      </c>
      <c r="C785" s="6" t="s">
        <v>54</v>
      </c>
      <c r="D785" s="6" t="str">
        <f>"242/275"</f>
        <v>242/275</v>
      </c>
      <c r="E785" s="6">
        <v>0.4</v>
      </c>
      <c r="F785" s="6" t="s">
        <v>2199</v>
      </c>
      <c r="G785" s="6" t="s">
        <v>2200</v>
      </c>
      <c r="H785" t="s">
        <v>10</v>
      </c>
      <c r="I785" s="1" t="s">
        <v>137</v>
      </c>
      <c r="J785" s="6"/>
    </row>
    <row r="786" spans="1:10" x14ac:dyDescent="0.2">
      <c r="A786" s="1" t="s">
        <v>2201</v>
      </c>
      <c r="B786" s="6">
        <v>1.1000000000000001</v>
      </c>
      <c r="C786" s="6" t="s">
        <v>54</v>
      </c>
      <c r="D786" s="6" t="str">
        <f>"75/90"</f>
        <v>75/90</v>
      </c>
      <c r="E786" s="6">
        <v>0.3</v>
      </c>
      <c r="F786" s="6" t="s">
        <v>2202</v>
      </c>
      <c r="G786" s="6" t="s">
        <v>2203</v>
      </c>
      <c r="H786" t="s">
        <v>10</v>
      </c>
      <c r="I786" s="1" t="s">
        <v>361</v>
      </c>
      <c r="J786" s="6"/>
    </row>
    <row r="787" spans="1:10" x14ac:dyDescent="0.2">
      <c r="A787" s="1" t="s">
        <v>2385</v>
      </c>
      <c r="B787" s="6">
        <v>1.1000000000000001</v>
      </c>
      <c r="C787" s="6" t="s">
        <v>54</v>
      </c>
      <c r="D787" s="6" t="str">
        <f>"242/275"</f>
        <v>242/275</v>
      </c>
      <c r="E787" s="6">
        <v>0.1</v>
      </c>
      <c r="F787" s="6" t="s">
        <v>2386</v>
      </c>
      <c r="G787" s="6" t="s">
        <v>2387</v>
      </c>
      <c r="H787" t="s">
        <v>15</v>
      </c>
      <c r="I787" s="1" t="s">
        <v>16</v>
      </c>
      <c r="J787" s="6"/>
    </row>
    <row r="788" spans="1:10" x14ac:dyDescent="0.2">
      <c r="A788" s="1" t="s">
        <v>2432</v>
      </c>
      <c r="B788" s="6">
        <v>1.1000000000000001</v>
      </c>
      <c r="C788" s="6" t="s">
        <v>18</v>
      </c>
      <c r="D788" s="6" t="str">
        <f>"161/267"</f>
        <v>161/267</v>
      </c>
      <c r="E788" s="6">
        <v>0.4</v>
      </c>
      <c r="F788" s="6" t="s">
        <v>2433</v>
      </c>
      <c r="G788" s="6" t="s">
        <v>2434</v>
      </c>
      <c r="H788" t="s">
        <v>102</v>
      </c>
      <c r="I788" s="1" t="s">
        <v>103</v>
      </c>
      <c r="J788" s="6"/>
    </row>
    <row r="789" spans="1:10" x14ac:dyDescent="0.2">
      <c r="A789" s="1" t="s">
        <v>2447</v>
      </c>
      <c r="B789" s="6">
        <v>1.1000000000000001</v>
      </c>
      <c r="C789" s="6" t="s">
        <v>54</v>
      </c>
      <c r="D789" s="6" t="str">
        <f>"118/142"</f>
        <v>118/142</v>
      </c>
      <c r="E789" s="6">
        <v>0.2</v>
      </c>
      <c r="F789" s="6" t="s">
        <v>2448</v>
      </c>
      <c r="G789" s="6" t="s">
        <v>2449</v>
      </c>
      <c r="H789" t="s">
        <v>767</v>
      </c>
      <c r="I789" s="1" t="s">
        <v>2450</v>
      </c>
      <c r="J789" s="6"/>
    </row>
    <row r="790" spans="1:10" x14ac:dyDescent="0.2">
      <c r="A790" s="1" t="s">
        <v>2621</v>
      </c>
      <c r="B790" s="6">
        <v>1.1000000000000001</v>
      </c>
      <c r="C790" s="6" t="s">
        <v>54</v>
      </c>
      <c r="D790" s="6" t="str">
        <f>"25/32"</f>
        <v>25/32</v>
      </c>
      <c r="E790" s="6">
        <v>0.4</v>
      </c>
      <c r="F790" s="6" t="s">
        <v>2622</v>
      </c>
      <c r="G790" s="6" t="s">
        <v>2623</v>
      </c>
      <c r="H790" t="s">
        <v>10</v>
      </c>
      <c r="I790" s="1" t="s">
        <v>220</v>
      </c>
      <c r="J790" s="6"/>
    </row>
    <row r="791" spans="1:10" x14ac:dyDescent="0.2">
      <c r="A791" s="1" t="s">
        <v>2634</v>
      </c>
      <c r="B791" s="6">
        <v>1.1000000000000001</v>
      </c>
      <c r="C791" s="6" t="s">
        <v>54</v>
      </c>
      <c r="D791" s="6" t="str">
        <f>"122/139"</f>
        <v>122/139</v>
      </c>
      <c r="E791" s="6">
        <v>0.1</v>
      </c>
      <c r="F791" s="6" t="s">
        <v>2635</v>
      </c>
      <c r="G791" s="6" t="s">
        <v>2636</v>
      </c>
      <c r="H791" t="s">
        <v>2637</v>
      </c>
      <c r="I791" s="1" t="s">
        <v>2638</v>
      </c>
      <c r="J791" s="6"/>
    </row>
    <row r="792" spans="1:10" x14ac:dyDescent="0.2">
      <c r="A792" s="1" t="s">
        <v>2758</v>
      </c>
      <c r="B792" s="6">
        <v>1.1000000000000001</v>
      </c>
      <c r="C792" s="6" t="s">
        <v>18</v>
      </c>
      <c r="D792" s="6" t="str">
        <f>"161/267"</f>
        <v>161/267</v>
      </c>
      <c r="E792" s="6">
        <v>0.1</v>
      </c>
      <c r="F792" s="6" t="s">
        <v>2759</v>
      </c>
      <c r="G792" s="6" t="s">
        <v>2760</v>
      </c>
      <c r="H792" t="s">
        <v>27</v>
      </c>
      <c r="I792" s="1" t="s">
        <v>133</v>
      </c>
      <c r="J792" s="6"/>
    </row>
    <row r="793" spans="1:10" x14ac:dyDescent="0.2">
      <c r="A793" s="1" t="s">
        <v>134</v>
      </c>
      <c r="B793" s="6">
        <v>1</v>
      </c>
      <c r="C793" s="6" t="s">
        <v>54</v>
      </c>
      <c r="D793" s="6" t="str">
        <f>"56/63"</f>
        <v>56/63</v>
      </c>
      <c r="E793" s="6">
        <v>0.2</v>
      </c>
      <c r="F793" s="6" t="s">
        <v>135</v>
      </c>
      <c r="G793" s="6" t="s">
        <v>136</v>
      </c>
      <c r="H793" t="s">
        <v>10</v>
      </c>
      <c r="I793" s="1" t="s">
        <v>137</v>
      </c>
      <c r="J793" s="6"/>
    </row>
    <row r="794" spans="1:10" ht="28.5" x14ac:dyDescent="0.2">
      <c r="A794" s="1" t="s">
        <v>407</v>
      </c>
      <c r="B794" s="6">
        <v>1</v>
      </c>
      <c r="C794" s="6" t="s">
        <v>54</v>
      </c>
      <c r="D794" s="6" t="str">
        <f>"36/40"</f>
        <v>36/40</v>
      </c>
      <c r="E794" s="6">
        <v>0.1</v>
      </c>
      <c r="F794" s="6" t="s">
        <v>408</v>
      </c>
      <c r="G794" s="6" t="s">
        <v>409</v>
      </c>
      <c r="H794" t="s">
        <v>123</v>
      </c>
      <c r="I794" s="1" t="s">
        <v>410</v>
      </c>
      <c r="J794" s="6"/>
    </row>
    <row r="795" spans="1:10" x14ac:dyDescent="0.2">
      <c r="A795" s="1" t="s">
        <v>614</v>
      </c>
      <c r="B795" s="6">
        <v>1</v>
      </c>
      <c r="C795" s="6" t="s">
        <v>54</v>
      </c>
      <c r="D795" s="6" t="str">
        <f>"120/137"</f>
        <v>120/137</v>
      </c>
      <c r="E795" s="6">
        <v>0.1</v>
      </c>
      <c r="F795" s="6" t="s">
        <v>615</v>
      </c>
      <c r="G795" s="6" t="s">
        <v>616</v>
      </c>
      <c r="H795" t="s">
        <v>27</v>
      </c>
      <c r="I795" s="1" t="s">
        <v>69</v>
      </c>
      <c r="J795" s="6"/>
    </row>
    <row r="796" spans="1:10" ht="28.5" x14ac:dyDescent="0.2">
      <c r="A796" s="1" t="s">
        <v>1029</v>
      </c>
      <c r="B796" s="6">
        <v>1</v>
      </c>
      <c r="C796" s="6" t="s">
        <v>54</v>
      </c>
      <c r="D796" s="6" t="str">
        <f>"124/136"</f>
        <v>124/136</v>
      </c>
      <c r="E796" s="6">
        <v>0.4</v>
      </c>
      <c r="F796" s="6" t="s">
        <v>1030</v>
      </c>
      <c r="G796" s="6" t="s">
        <v>1031</v>
      </c>
      <c r="H796" t="s">
        <v>27</v>
      </c>
      <c r="I796" s="1" t="s">
        <v>763</v>
      </c>
      <c r="J796" s="6"/>
    </row>
    <row r="797" spans="1:10" ht="28.5" x14ac:dyDescent="0.2">
      <c r="A797" s="1" t="s">
        <v>1167</v>
      </c>
      <c r="B797" s="6">
        <v>1</v>
      </c>
      <c r="C797" s="6" t="s">
        <v>54</v>
      </c>
      <c r="D797" s="6" t="str">
        <f>"27/28"</f>
        <v>27/28</v>
      </c>
      <c r="E797" s="6">
        <v>0.1</v>
      </c>
      <c r="F797" s="6" t="s">
        <v>1168</v>
      </c>
      <c r="G797" s="6" t="s">
        <v>1169</v>
      </c>
      <c r="H797" t="s">
        <v>27</v>
      </c>
      <c r="I797" s="1" t="s">
        <v>1170</v>
      </c>
      <c r="J797" s="6"/>
    </row>
    <row r="798" spans="1:10" x14ac:dyDescent="0.2">
      <c r="A798" s="1" t="s">
        <v>1227</v>
      </c>
      <c r="B798" s="6">
        <v>1</v>
      </c>
      <c r="C798" s="6" t="s">
        <v>54</v>
      </c>
      <c r="D798" s="6" t="str">
        <f>"78/90"</f>
        <v>78/90</v>
      </c>
      <c r="E798" s="6">
        <v>0.3</v>
      </c>
      <c r="F798" s="6" t="s">
        <v>1228</v>
      </c>
      <c r="G798" s="6" t="s">
        <v>1229</v>
      </c>
      <c r="H798" t="s">
        <v>1230</v>
      </c>
      <c r="I798" s="1" t="s">
        <v>1231</v>
      </c>
      <c r="J798" s="6"/>
    </row>
    <row r="799" spans="1:10" x14ac:dyDescent="0.2">
      <c r="A799" s="1" t="s">
        <v>1370</v>
      </c>
      <c r="B799" s="6">
        <v>1</v>
      </c>
      <c r="C799" s="6" t="s">
        <v>54</v>
      </c>
      <c r="D799" s="6" t="str">
        <f>"120/137"</f>
        <v>120/137</v>
      </c>
      <c r="E799" s="6">
        <v>0.4</v>
      </c>
      <c r="F799" s="6" t="s">
        <v>1371</v>
      </c>
      <c r="G799" s="6" t="s">
        <v>1372</v>
      </c>
      <c r="H799" t="s">
        <v>299</v>
      </c>
      <c r="I799" s="1" t="s">
        <v>1373</v>
      </c>
      <c r="J799" s="6"/>
    </row>
    <row r="800" spans="1:10" x14ac:dyDescent="0.2">
      <c r="A800" s="1" t="s">
        <v>1613</v>
      </c>
      <c r="B800" s="6">
        <v>1</v>
      </c>
      <c r="C800" s="6" t="s">
        <v>54</v>
      </c>
      <c r="D800" s="6" t="str">
        <f>"36/43"</f>
        <v>36/43</v>
      </c>
      <c r="E800" s="6">
        <v>0.1</v>
      </c>
      <c r="F800" s="6" t="s">
        <v>1614</v>
      </c>
      <c r="G800" s="6" t="s">
        <v>1614</v>
      </c>
      <c r="H800" t="s">
        <v>1615</v>
      </c>
      <c r="I800" s="1" t="s">
        <v>1616</v>
      </c>
      <c r="J800" s="6"/>
    </row>
    <row r="801" spans="1:10" x14ac:dyDescent="0.2">
      <c r="A801" s="1" t="s">
        <v>1701</v>
      </c>
      <c r="B801" s="6">
        <v>1</v>
      </c>
      <c r="C801" s="6" t="s">
        <v>54</v>
      </c>
      <c r="D801" s="6" t="str">
        <f>"25/31"</f>
        <v>25/31</v>
      </c>
      <c r="E801" s="6">
        <v>0.2</v>
      </c>
      <c r="F801" s="6" t="s">
        <v>1702</v>
      </c>
      <c r="G801" s="6" t="s">
        <v>1703</v>
      </c>
      <c r="H801" t="s">
        <v>27</v>
      </c>
      <c r="I801" s="1" t="s">
        <v>87</v>
      </c>
      <c r="J801" s="6"/>
    </row>
    <row r="802" spans="1:10" x14ac:dyDescent="0.2">
      <c r="A802" s="1" t="s">
        <v>1712</v>
      </c>
      <c r="B802" s="6">
        <v>1</v>
      </c>
      <c r="C802" s="6" t="s">
        <v>54</v>
      </c>
      <c r="D802" s="6" t="str">
        <f>"25/31"</f>
        <v>25/31</v>
      </c>
      <c r="E802" s="6">
        <v>0.1</v>
      </c>
      <c r="F802" s="6" t="s">
        <v>1713</v>
      </c>
      <c r="G802" s="6" t="s">
        <v>60</v>
      </c>
      <c r="H802" t="s">
        <v>27</v>
      </c>
      <c r="I802" s="1" t="s">
        <v>1714</v>
      </c>
      <c r="J802" s="6"/>
    </row>
    <row r="803" spans="1:10" ht="28.5" x14ac:dyDescent="0.2">
      <c r="A803" s="1" t="s">
        <v>1744</v>
      </c>
      <c r="B803" s="6">
        <v>1</v>
      </c>
      <c r="C803" s="6" t="s">
        <v>54</v>
      </c>
      <c r="D803" s="6" t="str">
        <f>"78/90"</f>
        <v>78/90</v>
      </c>
      <c r="E803" s="6">
        <v>0.2</v>
      </c>
      <c r="F803" s="6" t="s">
        <v>1745</v>
      </c>
      <c r="G803" s="6" t="s">
        <v>1746</v>
      </c>
      <c r="H803" t="s">
        <v>1747</v>
      </c>
      <c r="I803" s="1" t="s">
        <v>1748</v>
      </c>
      <c r="J803" s="6"/>
    </row>
    <row r="804" spans="1:10" x14ac:dyDescent="0.2">
      <c r="A804" s="1" t="s">
        <v>1846</v>
      </c>
      <c r="B804" s="6">
        <v>1</v>
      </c>
      <c r="C804" s="6" t="s">
        <v>54</v>
      </c>
      <c r="D804" s="6" t="str">
        <f>"248/275"</f>
        <v>248/275</v>
      </c>
      <c r="E804" s="6">
        <v>0.2</v>
      </c>
      <c r="F804" s="6" t="s">
        <v>1847</v>
      </c>
      <c r="G804" s="6" t="s">
        <v>1848</v>
      </c>
      <c r="H804" t="s">
        <v>27</v>
      </c>
      <c r="I804" s="1" t="s">
        <v>16</v>
      </c>
      <c r="J804" s="6"/>
    </row>
    <row r="805" spans="1:10" x14ac:dyDescent="0.2">
      <c r="A805" s="1" t="s">
        <v>2261</v>
      </c>
      <c r="B805" s="6">
        <v>1</v>
      </c>
      <c r="C805" s="6" t="s">
        <v>54</v>
      </c>
      <c r="D805" s="6" t="str">
        <f>"47/50"</f>
        <v>47/50</v>
      </c>
      <c r="E805" s="6">
        <v>1.3</v>
      </c>
      <c r="F805" s="6" t="s">
        <v>2262</v>
      </c>
      <c r="G805" s="6" t="s">
        <v>2263</v>
      </c>
      <c r="H805" t="s">
        <v>15</v>
      </c>
      <c r="I805" s="1" t="s">
        <v>430</v>
      </c>
      <c r="J805" s="6"/>
    </row>
    <row r="806" spans="1:10" ht="42.75" x14ac:dyDescent="0.2">
      <c r="A806" s="1" t="s">
        <v>2422</v>
      </c>
      <c r="B806" s="6">
        <v>1</v>
      </c>
      <c r="C806" s="6" t="s">
        <v>54</v>
      </c>
      <c r="D806" s="6" t="str">
        <f>"78/90"</f>
        <v>78/90</v>
      </c>
      <c r="E806" s="6">
        <v>0.3</v>
      </c>
      <c r="F806" s="6" t="s">
        <v>2423</v>
      </c>
      <c r="G806" s="6" t="s">
        <v>2424</v>
      </c>
      <c r="H806" t="s">
        <v>132</v>
      </c>
      <c r="I806" s="1" t="s">
        <v>2425</v>
      </c>
      <c r="J806" s="6"/>
    </row>
    <row r="807" spans="1:10" x14ac:dyDescent="0.2">
      <c r="A807" s="1" t="s">
        <v>2663</v>
      </c>
      <c r="B807" s="6">
        <v>1</v>
      </c>
      <c r="C807" s="6" t="s">
        <v>54</v>
      </c>
      <c r="D807" s="6" t="str">
        <f>"61/65"</f>
        <v>61/65</v>
      </c>
      <c r="E807" s="6">
        <v>0.2</v>
      </c>
      <c r="F807" s="6" t="s">
        <v>2664</v>
      </c>
      <c r="G807" s="6" t="s">
        <v>2665</v>
      </c>
      <c r="H807" t="s">
        <v>10</v>
      </c>
      <c r="I807" s="1" t="s">
        <v>137</v>
      </c>
      <c r="J807" s="6"/>
    </row>
    <row r="808" spans="1:10" ht="28.5" x14ac:dyDescent="0.2">
      <c r="A808" s="1" t="s">
        <v>116</v>
      </c>
      <c r="B808" s="6">
        <v>0.9</v>
      </c>
      <c r="C808" s="6" t="s">
        <v>54</v>
      </c>
      <c r="D808" s="6" t="str">
        <f>"126/136"</f>
        <v>126/136</v>
      </c>
      <c r="E808" s="6">
        <v>0.2</v>
      </c>
      <c r="F808" s="6" t="s">
        <v>117</v>
      </c>
      <c r="G808" s="6" t="s">
        <v>118</v>
      </c>
      <c r="H808" t="s">
        <v>119</v>
      </c>
      <c r="I808" s="1" t="s">
        <v>120</v>
      </c>
      <c r="J808" s="6"/>
    </row>
    <row r="809" spans="1:10" x14ac:dyDescent="0.2">
      <c r="A809" s="1" t="s">
        <v>156</v>
      </c>
      <c r="B809" s="6">
        <v>0.9</v>
      </c>
      <c r="C809" s="6" t="s">
        <v>54</v>
      </c>
      <c r="D809" s="6" t="str">
        <f>"82/90"</f>
        <v>82/90</v>
      </c>
      <c r="E809" s="6">
        <v>0.2</v>
      </c>
      <c r="F809" s="6" t="s">
        <v>157</v>
      </c>
      <c r="G809" s="6" t="s">
        <v>158</v>
      </c>
      <c r="H809" t="s">
        <v>123</v>
      </c>
      <c r="I809" s="1" t="s">
        <v>159</v>
      </c>
      <c r="J809" s="6"/>
    </row>
    <row r="810" spans="1:10" x14ac:dyDescent="0.2">
      <c r="A810" s="1" t="s">
        <v>384</v>
      </c>
      <c r="B810" s="6">
        <v>0.9</v>
      </c>
      <c r="C810" s="6" t="s">
        <v>18</v>
      </c>
      <c r="D810" s="6" t="str">
        <f>"197/267"</f>
        <v>197/267</v>
      </c>
      <c r="E810" s="6">
        <v>0.2</v>
      </c>
      <c r="F810" s="6" t="s">
        <v>385</v>
      </c>
      <c r="G810" s="6" t="s">
        <v>386</v>
      </c>
      <c r="H810" t="s">
        <v>15</v>
      </c>
      <c r="I810" s="1" t="s">
        <v>387</v>
      </c>
      <c r="J810" s="6"/>
    </row>
    <row r="811" spans="1:10" x14ac:dyDescent="0.2">
      <c r="A811" s="1" t="s">
        <v>768</v>
      </c>
      <c r="B811" s="6">
        <v>0.9</v>
      </c>
      <c r="C811" s="6" t="s">
        <v>54</v>
      </c>
      <c r="D811" s="6" t="str">
        <f>"59/63"</f>
        <v>59/63</v>
      </c>
      <c r="E811" s="6">
        <v>0.3</v>
      </c>
      <c r="F811" s="6" t="s">
        <v>769</v>
      </c>
      <c r="G811" s="6" t="s">
        <v>769</v>
      </c>
      <c r="H811" t="s">
        <v>770</v>
      </c>
      <c r="I811" s="1" t="s">
        <v>529</v>
      </c>
      <c r="J811" s="6"/>
    </row>
    <row r="812" spans="1:10" x14ac:dyDescent="0.2">
      <c r="A812" s="1" t="s">
        <v>1010</v>
      </c>
      <c r="B812" s="6">
        <v>0.9</v>
      </c>
      <c r="C812" s="6" t="s">
        <v>54</v>
      </c>
      <c r="D812" s="6" t="str">
        <f>"91/100"</f>
        <v>91/100</v>
      </c>
      <c r="E812" s="6">
        <v>0.2</v>
      </c>
      <c r="F812" s="6" t="s">
        <v>1011</v>
      </c>
      <c r="G812" s="6" t="s">
        <v>1012</v>
      </c>
      <c r="H812" t="s">
        <v>144</v>
      </c>
      <c r="I812" s="1" t="s">
        <v>133</v>
      </c>
      <c r="J812" s="6"/>
    </row>
    <row r="813" spans="1:10" x14ac:dyDescent="0.2">
      <c r="A813" s="1" t="s">
        <v>1091</v>
      </c>
      <c r="B813" s="6">
        <v>0.9</v>
      </c>
      <c r="C813" s="6" t="s">
        <v>54</v>
      </c>
      <c r="D813" s="6" t="str">
        <f>"124/137"</f>
        <v>124/137</v>
      </c>
      <c r="E813" s="6">
        <v>0.1</v>
      </c>
      <c r="F813" s="6" t="s">
        <v>1092</v>
      </c>
      <c r="G813" s="6" t="s">
        <v>60</v>
      </c>
      <c r="H813" t="s">
        <v>27</v>
      </c>
      <c r="I813" s="1" t="s">
        <v>1093</v>
      </c>
      <c r="J813" s="6"/>
    </row>
    <row r="814" spans="1:10" x14ac:dyDescent="0.2">
      <c r="A814" s="1" t="s">
        <v>1266</v>
      </c>
      <c r="B814" s="6">
        <v>0.9</v>
      </c>
      <c r="C814" s="6" t="s">
        <v>54</v>
      </c>
      <c r="D814" s="6" t="str">
        <f>"249/275"</f>
        <v>249/275</v>
      </c>
      <c r="E814" s="6">
        <v>0.2</v>
      </c>
      <c r="F814" s="6" t="s">
        <v>1267</v>
      </c>
      <c r="G814" s="6" t="s">
        <v>1268</v>
      </c>
      <c r="H814" t="s">
        <v>27</v>
      </c>
      <c r="I814" s="1" t="s">
        <v>133</v>
      </c>
      <c r="J814" s="6"/>
    </row>
    <row r="815" spans="1:10" x14ac:dyDescent="0.2">
      <c r="A815" s="1" t="s">
        <v>1298</v>
      </c>
      <c r="B815" s="6">
        <v>0.9</v>
      </c>
      <c r="C815" s="6" t="s">
        <v>18</v>
      </c>
      <c r="D815" s="6" t="str">
        <f>"197/267"</f>
        <v>197/267</v>
      </c>
      <c r="E815" s="6">
        <v>0.2</v>
      </c>
      <c r="F815" s="6" t="s">
        <v>1299</v>
      </c>
      <c r="G815" s="6" t="s">
        <v>1300</v>
      </c>
      <c r="H815" t="s">
        <v>27</v>
      </c>
      <c r="I815" s="1" t="s">
        <v>73</v>
      </c>
      <c r="J815" s="6"/>
    </row>
    <row r="816" spans="1:10" ht="28.5" x14ac:dyDescent="0.2">
      <c r="A816" s="1" t="s">
        <v>1387</v>
      </c>
      <c r="B816" s="6">
        <v>0.9</v>
      </c>
      <c r="C816" s="6" t="s">
        <v>54</v>
      </c>
      <c r="D816" s="6" t="str">
        <f>"126/136"</f>
        <v>126/136</v>
      </c>
      <c r="E816" s="6">
        <v>0.4</v>
      </c>
      <c r="F816" s="6" t="s">
        <v>1388</v>
      </c>
      <c r="G816" s="6" t="s">
        <v>1388</v>
      </c>
      <c r="H816" t="s">
        <v>111</v>
      </c>
      <c r="I816" s="1" t="s">
        <v>898</v>
      </c>
      <c r="J816" s="6"/>
    </row>
    <row r="817" spans="1:10" x14ac:dyDescent="0.2">
      <c r="A817" s="1" t="s">
        <v>1422</v>
      </c>
      <c r="B817" s="6">
        <v>0.9</v>
      </c>
      <c r="C817" s="6" t="s">
        <v>54</v>
      </c>
      <c r="D817" s="6" t="str">
        <f>"31/34"</f>
        <v>31/34</v>
      </c>
      <c r="E817" s="6">
        <v>0.4</v>
      </c>
      <c r="F817" s="6" t="s">
        <v>1423</v>
      </c>
      <c r="G817" s="6" t="s">
        <v>1424</v>
      </c>
      <c r="H817" t="s">
        <v>15</v>
      </c>
      <c r="I817" s="1" t="s">
        <v>137</v>
      </c>
      <c r="J817" s="6"/>
    </row>
    <row r="818" spans="1:10" x14ac:dyDescent="0.2">
      <c r="A818" s="1" t="s">
        <v>1465</v>
      </c>
      <c r="B818" s="6">
        <v>0.9</v>
      </c>
      <c r="C818" s="6" t="s">
        <v>54</v>
      </c>
      <c r="D818" s="6" t="str">
        <f>"62/65"</f>
        <v>62/65</v>
      </c>
      <c r="E818" s="6">
        <v>0.1</v>
      </c>
      <c r="F818" s="6" t="s">
        <v>1466</v>
      </c>
      <c r="G818" s="6" t="s">
        <v>1467</v>
      </c>
      <c r="H818" t="s">
        <v>27</v>
      </c>
      <c r="I818" s="1" t="s">
        <v>1468</v>
      </c>
      <c r="J818" s="6"/>
    </row>
    <row r="819" spans="1:10" ht="28.5" x14ac:dyDescent="0.2">
      <c r="A819" s="1" t="s">
        <v>1776</v>
      </c>
      <c r="B819" s="6">
        <v>0.9</v>
      </c>
      <c r="C819" s="6" t="s">
        <v>54</v>
      </c>
      <c r="D819" s="6" t="str">
        <f>"82/90"</f>
        <v>82/90</v>
      </c>
      <c r="E819" s="6">
        <v>0.2</v>
      </c>
      <c r="F819" s="6" t="s">
        <v>1777</v>
      </c>
      <c r="G819" s="6" t="s">
        <v>1778</v>
      </c>
      <c r="H819" t="s">
        <v>327</v>
      </c>
      <c r="I819" s="1" t="s">
        <v>1006</v>
      </c>
      <c r="J819" s="6"/>
    </row>
    <row r="820" spans="1:10" x14ac:dyDescent="0.2">
      <c r="A820" s="1" t="s">
        <v>2172</v>
      </c>
      <c r="B820" s="6">
        <v>0.9</v>
      </c>
      <c r="C820" s="6" t="s">
        <v>54</v>
      </c>
      <c r="D820" s="6" t="str">
        <f>"30/34"</f>
        <v>30/34</v>
      </c>
      <c r="E820" s="6">
        <v>0.3</v>
      </c>
      <c r="F820" s="6" t="s">
        <v>2173</v>
      </c>
      <c r="G820" s="6" t="s">
        <v>2174</v>
      </c>
      <c r="H820" t="s">
        <v>27</v>
      </c>
      <c r="I820" s="1" t="s">
        <v>69</v>
      </c>
      <c r="J820" s="6"/>
    </row>
    <row r="821" spans="1:10" ht="42.75" x14ac:dyDescent="0.2">
      <c r="A821" s="1" t="s">
        <v>2207</v>
      </c>
      <c r="B821" s="6">
        <v>0.9</v>
      </c>
      <c r="C821" s="6" t="s">
        <v>54</v>
      </c>
      <c r="D821" s="6" t="str">
        <f>"124/137"</f>
        <v>124/137</v>
      </c>
      <c r="E821" s="6">
        <v>0.2</v>
      </c>
      <c r="F821" s="6" t="s">
        <v>2208</v>
      </c>
      <c r="G821" s="6" t="s">
        <v>2209</v>
      </c>
      <c r="H821" t="s">
        <v>27</v>
      </c>
      <c r="I821" s="1" t="s">
        <v>1736</v>
      </c>
      <c r="J821" s="6"/>
    </row>
    <row r="822" spans="1:10" ht="28.5" x14ac:dyDescent="0.2">
      <c r="A822" s="1" t="s">
        <v>2454</v>
      </c>
      <c r="B822" s="6">
        <v>0.9</v>
      </c>
      <c r="C822" s="6" t="s">
        <v>54</v>
      </c>
      <c r="D822" s="6" t="str">
        <f>"60/73"</f>
        <v>60/73</v>
      </c>
      <c r="E822" s="6">
        <v>0.1</v>
      </c>
      <c r="F822" s="6" t="s">
        <v>2455</v>
      </c>
      <c r="G822" s="6" t="s">
        <v>2456</v>
      </c>
      <c r="H822" t="s">
        <v>327</v>
      </c>
      <c r="I822" s="1" t="s">
        <v>2457</v>
      </c>
      <c r="J822" s="6"/>
    </row>
    <row r="823" spans="1:10" ht="28.5" x14ac:dyDescent="0.2">
      <c r="A823" s="1" t="s">
        <v>2472</v>
      </c>
      <c r="B823" s="6">
        <v>0.9</v>
      </c>
      <c r="C823" s="6" t="s">
        <v>54</v>
      </c>
      <c r="D823" s="6" t="str">
        <f>"62/65"</f>
        <v>62/65</v>
      </c>
      <c r="E823" s="6">
        <v>0.1</v>
      </c>
      <c r="F823" s="6" t="s">
        <v>2473</v>
      </c>
      <c r="G823" s="6" t="s">
        <v>60</v>
      </c>
      <c r="H823" t="s">
        <v>190</v>
      </c>
      <c r="I823" s="1" t="s">
        <v>2474</v>
      </c>
      <c r="J823" s="6"/>
    </row>
    <row r="824" spans="1:10" x14ac:dyDescent="0.2">
      <c r="A824" s="1" t="s">
        <v>2542</v>
      </c>
      <c r="B824" s="6">
        <v>0.9</v>
      </c>
      <c r="C824" s="6" t="s">
        <v>54</v>
      </c>
      <c r="D824" s="6" t="str">
        <f>"249/275"</f>
        <v>249/275</v>
      </c>
      <c r="E824" s="6">
        <v>0.1</v>
      </c>
      <c r="F824" s="6" t="s">
        <v>2543</v>
      </c>
      <c r="G824" s="6" t="s">
        <v>2544</v>
      </c>
      <c r="H824" t="s">
        <v>15</v>
      </c>
      <c r="I824" s="1" t="s">
        <v>248</v>
      </c>
      <c r="J824" s="6"/>
    </row>
    <row r="825" spans="1:10" ht="42.75" x14ac:dyDescent="0.2">
      <c r="A825" s="1" t="s">
        <v>2554</v>
      </c>
      <c r="B825" s="6">
        <v>0.9</v>
      </c>
      <c r="C825" s="6" t="s">
        <v>18</v>
      </c>
      <c r="D825" s="6" t="str">
        <f>"14/19"</f>
        <v>14/19</v>
      </c>
      <c r="E825" s="6">
        <v>0</v>
      </c>
      <c r="F825" s="6" t="s">
        <v>2555</v>
      </c>
      <c r="G825" s="6" t="s">
        <v>2555</v>
      </c>
      <c r="H825" t="s">
        <v>51</v>
      </c>
      <c r="I825" s="1" t="s">
        <v>2556</v>
      </c>
      <c r="J825" s="6"/>
    </row>
    <row r="826" spans="1:10" x14ac:dyDescent="0.2">
      <c r="A826" s="1" t="s">
        <v>2774</v>
      </c>
      <c r="B826" s="6">
        <v>0.9</v>
      </c>
      <c r="C826" s="6" t="s">
        <v>54</v>
      </c>
      <c r="D826" s="6" t="str">
        <f>"137/145"</f>
        <v>137/145</v>
      </c>
      <c r="E826" s="6">
        <v>0.8</v>
      </c>
      <c r="F826" s="6" t="s">
        <v>2775</v>
      </c>
      <c r="G826" s="6" t="s">
        <v>2776</v>
      </c>
      <c r="H826" t="s">
        <v>27</v>
      </c>
      <c r="I826" s="1" t="s">
        <v>2777</v>
      </c>
      <c r="J826" s="6"/>
    </row>
    <row r="827" spans="1:10" x14ac:dyDescent="0.2">
      <c r="A827" s="1" t="s">
        <v>272</v>
      </c>
      <c r="B827" s="6">
        <v>0.8</v>
      </c>
      <c r="C827" s="6" t="s">
        <v>54</v>
      </c>
      <c r="D827" s="6" t="str">
        <f>"210/267"</f>
        <v>210/267</v>
      </c>
      <c r="E827" s="6">
        <v>0.2</v>
      </c>
      <c r="F827" s="6" t="s">
        <v>273</v>
      </c>
      <c r="G827" s="6" t="s">
        <v>274</v>
      </c>
      <c r="H827" t="s">
        <v>27</v>
      </c>
      <c r="I827" s="1" t="s">
        <v>275</v>
      </c>
      <c r="J827" s="6"/>
    </row>
    <row r="828" spans="1:10" x14ac:dyDescent="0.2">
      <c r="A828" s="1" t="s">
        <v>485</v>
      </c>
      <c r="B828" s="6">
        <v>0.8</v>
      </c>
      <c r="C828" s="6" t="s">
        <v>54</v>
      </c>
      <c r="D828" s="6" t="str">
        <f>"127/139"</f>
        <v>127/139</v>
      </c>
      <c r="E828" s="6">
        <v>1.1000000000000001</v>
      </c>
      <c r="F828" s="6" t="s">
        <v>486</v>
      </c>
      <c r="G828" s="6" t="s">
        <v>487</v>
      </c>
      <c r="H828" t="s">
        <v>15</v>
      </c>
      <c r="I828" s="1" t="s">
        <v>248</v>
      </c>
      <c r="J828" s="6"/>
    </row>
    <row r="829" spans="1:10" ht="28.5" x14ac:dyDescent="0.2">
      <c r="A829" s="1" t="s">
        <v>506</v>
      </c>
      <c r="B829" s="6">
        <v>0.8</v>
      </c>
      <c r="C829" s="6" t="s">
        <v>54</v>
      </c>
      <c r="D829" s="6" t="str">
        <f>"127/139"</f>
        <v>127/139</v>
      </c>
      <c r="E829" s="6">
        <v>1</v>
      </c>
      <c r="F829" s="6" t="s">
        <v>507</v>
      </c>
      <c r="G829" s="6" t="s">
        <v>508</v>
      </c>
      <c r="H829" t="s">
        <v>15</v>
      </c>
      <c r="I829" s="1" t="s">
        <v>248</v>
      </c>
      <c r="J829" s="6"/>
    </row>
    <row r="830" spans="1:10" x14ac:dyDescent="0.2">
      <c r="A830" s="1" t="s">
        <v>792</v>
      </c>
      <c r="B830" s="6">
        <v>0.8</v>
      </c>
      <c r="C830" s="6" t="s">
        <v>54</v>
      </c>
      <c r="D830" s="6" t="str">
        <f>"14/16"</f>
        <v>14/16</v>
      </c>
      <c r="E830" s="6">
        <v>0.3</v>
      </c>
      <c r="F830" s="6" t="s">
        <v>793</v>
      </c>
      <c r="G830" s="6" t="s">
        <v>794</v>
      </c>
      <c r="H830" t="s">
        <v>27</v>
      </c>
      <c r="I830" s="1" t="s">
        <v>795</v>
      </c>
      <c r="J830" s="6"/>
    </row>
    <row r="831" spans="1:10" ht="28.5" x14ac:dyDescent="0.2">
      <c r="A831" s="1" t="s">
        <v>1224</v>
      </c>
      <c r="B831" s="6">
        <v>0.8</v>
      </c>
      <c r="C831" s="6" t="s">
        <v>54</v>
      </c>
      <c r="D831" s="6" t="str">
        <f>"84/90"</f>
        <v>84/90</v>
      </c>
      <c r="E831" s="6">
        <v>0</v>
      </c>
      <c r="F831" s="6" t="s">
        <v>1225</v>
      </c>
      <c r="G831" s="6" t="s">
        <v>60</v>
      </c>
      <c r="H831" t="s">
        <v>27</v>
      </c>
      <c r="I831" s="1" t="s">
        <v>1226</v>
      </c>
      <c r="J831" s="6"/>
    </row>
    <row r="832" spans="1:10" ht="28.5" x14ac:dyDescent="0.2">
      <c r="A832" s="1" t="s">
        <v>1256</v>
      </c>
      <c r="B832" s="6">
        <v>0.8</v>
      </c>
      <c r="C832" s="6" t="s">
        <v>54</v>
      </c>
      <c r="D832" s="6" t="str">
        <f>"113/119"</f>
        <v>113/119</v>
      </c>
      <c r="E832" s="6">
        <v>0.4</v>
      </c>
      <c r="F832" s="6" t="s">
        <v>1257</v>
      </c>
      <c r="G832" s="6" t="s">
        <v>1258</v>
      </c>
      <c r="H832" t="s">
        <v>243</v>
      </c>
      <c r="I832" s="1" t="s">
        <v>1259</v>
      </c>
      <c r="J832" s="6"/>
    </row>
    <row r="833" spans="1:10" x14ac:dyDescent="0.2">
      <c r="A833" s="1" t="s">
        <v>1285</v>
      </c>
      <c r="B833" s="6">
        <v>0.8</v>
      </c>
      <c r="C833" s="6" t="s">
        <v>54</v>
      </c>
      <c r="D833" s="6" t="str">
        <f>"253/275"</f>
        <v>253/275</v>
      </c>
      <c r="E833" s="6">
        <v>0.2</v>
      </c>
      <c r="F833" s="6" t="s">
        <v>1286</v>
      </c>
      <c r="G833" s="6" t="s">
        <v>1287</v>
      </c>
      <c r="H833" t="s">
        <v>770</v>
      </c>
      <c r="I833" s="1" t="s">
        <v>1288</v>
      </c>
      <c r="J833" s="6"/>
    </row>
    <row r="834" spans="1:10" x14ac:dyDescent="0.2">
      <c r="A834" s="1" t="s">
        <v>1435</v>
      </c>
      <c r="B834" s="6">
        <v>0.8</v>
      </c>
      <c r="C834" s="6" t="s">
        <v>54</v>
      </c>
      <c r="D834" s="6" t="str">
        <f>"19/21"</f>
        <v>19/21</v>
      </c>
      <c r="E834" s="6">
        <v>0.1</v>
      </c>
      <c r="F834" s="6" t="s">
        <v>1436</v>
      </c>
      <c r="G834" s="6" t="s">
        <v>1437</v>
      </c>
      <c r="H834" t="s">
        <v>15</v>
      </c>
      <c r="I834" s="1" t="s">
        <v>430</v>
      </c>
      <c r="J834" s="6"/>
    </row>
    <row r="835" spans="1:10" ht="28.5" x14ac:dyDescent="0.2">
      <c r="A835" s="1" t="s">
        <v>1509</v>
      </c>
      <c r="B835" s="6">
        <v>0.8</v>
      </c>
      <c r="C835" s="6" t="s">
        <v>54</v>
      </c>
      <c r="D835" s="6" t="str">
        <f>"14/16"</f>
        <v>14/16</v>
      </c>
      <c r="E835" s="6">
        <v>0.2</v>
      </c>
      <c r="F835" s="6" t="s">
        <v>1510</v>
      </c>
      <c r="G835" s="6" t="s">
        <v>1510</v>
      </c>
      <c r="H835" t="s">
        <v>27</v>
      </c>
      <c r="I835" s="1" t="s">
        <v>1511</v>
      </c>
      <c r="J835" s="6"/>
    </row>
    <row r="836" spans="1:10" ht="42.75" x14ac:dyDescent="0.2">
      <c r="A836" s="1" t="s">
        <v>1844</v>
      </c>
      <c r="B836" s="6">
        <v>0.8</v>
      </c>
      <c r="C836" s="6" t="s">
        <v>54</v>
      </c>
      <c r="D836" s="6" t="str">
        <f>"253/275"</f>
        <v>253/275</v>
      </c>
      <c r="E836" s="6">
        <v>0.2</v>
      </c>
      <c r="F836" s="6" t="s">
        <v>1845</v>
      </c>
      <c r="G836" s="6" t="s">
        <v>1845</v>
      </c>
      <c r="H836" t="s">
        <v>111</v>
      </c>
      <c r="I836" s="1" t="s">
        <v>1840</v>
      </c>
      <c r="J836" s="6"/>
    </row>
    <row r="837" spans="1:10" ht="28.5" x14ac:dyDescent="0.2">
      <c r="A837" s="1" t="s">
        <v>2085</v>
      </c>
      <c r="B837" s="6">
        <v>0.8</v>
      </c>
      <c r="C837" s="6" t="s">
        <v>54</v>
      </c>
      <c r="D837" s="6" t="str">
        <f>"253/275"</f>
        <v>253/275</v>
      </c>
      <c r="E837" s="6">
        <v>0.2</v>
      </c>
      <c r="F837" s="6" t="s">
        <v>2086</v>
      </c>
      <c r="G837" s="6" t="s">
        <v>2087</v>
      </c>
      <c r="H837" t="s">
        <v>27</v>
      </c>
      <c r="I837" s="1" t="s">
        <v>512</v>
      </c>
      <c r="J837" s="6"/>
    </row>
    <row r="838" spans="1:10" ht="28.5" x14ac:dyDescent="0.2">
      <c r="A838" s="1" t="s">
        <v>2319</v>
      </c>
      <c r="B838" s="6">
        <v>0.8</v>
      </c>
      <c r="C838" s="6" t="s">
        <v>54</v>
      </c>
      <c r="D838" s="6" t="str">
        <f>"60/68"</f>
        <v>60/68</v>
      </c>
      <c r="E838" s="6">
        <v>0.1</v>
      </c>
      <c r="F838" s="6" t="s">
        <v>2320</v>
      </c>
      <c r="G838" s="6" t="s">
        <v>2320</v>
      </c>
      <c r="H838" t="s">
        <v>27</v>
      </c>
      <c r="I838" s="1" t="s">
        <v>2321</v>
      </c>
      <c r="J838" s="6"/>
    </row>
    <row r="839" spans="1:10" x14ac:dyDescent="0.2">
      <c r="A839" s="1" t="s">
        <v>2393</v>
      </c>
      <c r="B839" s="6">
        <v>0.8</v>
      </c>
      <c r="C839" s="6" t="s">
        <v>54</v>
      </c>
      <c r="D839" s="6" t="str">
        <f>"253/275"</f>
        <v>253/275</v>
      </c>
      <c r="E839" s="6">
        <v>0</v>
      </c>
      <c r="F839" s="6" t="s">
        <v>2394</v>
      </c>
      <c r="G839" s="6" t="s">
        <v>2395</v>
      </c>
      <c r="H839" t="s">
        <v>27</v>
      </c>
      <c r="I839" s="1" t="s">
        <v>69</v>
      </c>
      <c r="J839" s="6"/>
    </row>
    <row r="840" spans="1:10" x14ac:dyDescent="0.2">
      <c r="A840" s="1" t="s">
        <v>2435</v>
      </c>
      <c r="B840" s="6">
        <v>0.8</v>
      </c>
      <c r="C840" s="6" t="s">
        <v>18</v>
      </c>
      <c r="D840" s="6" t="str">
        <f>"170/330"</f>
        <v>170/330</v>
      </c>
      <c r="E840" s="6">
        <v>0.2</v>
      </c>
      <c r="F840" s="6" t="s">
        <v>2436</v>
      </c>
      <c r="G840" s="6" t="s">
        <v>2437</v>
      </c>
      <c r="H840" t="s">
        <v>27</v>
      </c>
      <c r="I840" s="1" t="s">
        <v>133</v>
      </c>
      <c r="J840" s="6"/>
    </row>
    <row r="841" spans="1:10" x14ac:dyDescent="0.2">
      <c r="A841" s="1" t="s">
        <v>2500</v>
      </c>
      <c r="B841" s="6">
        <v>0.8</v>
      </c>
      <c r="C841" s="6" t="s">
        <v>54</v>
      </c>
      <c r="D841" s="6" t="str">
        <f>"127/137"</f>
        <v>127/137</v>
      </c>
      <c r="E841" s="6">
        <v>0.3</v>
      </c>
      <c r="F841" s="6" t="s">
        <v>2501</v>
      </c>
      <c r="G841" s="6" t="s">
        <v>2502</v>
      </c>
      <c r="H841" t="s">
        <v>319</v>
      </c>
      <c r="I841" s="1" t="s">
        <v>2503</v>
      </c>
      <c r="J841" s="6"/>
    </row>
    <row r="842" spans="1:10" ht="42.75" x14ac:dyDescent="0.2">
      <c r="A842" s="1" t="s">
        <v>2674</v>
      </c>
      <c r="B842" s="6">
        <v>0.8</v>
      </c>
      <c r="C842" s="6" t="s">
        <v>54</v>
      </c>
      <c r="D842" s="6" t="str">
        <f>"60/68"</f>
        <v>60/68</v>
      </c>
      <c r="E842" s="6">
        <v>0.3</v>
      </c>
      <c r="F842" s="6" t="s">
        <v>2675</v>
      </c>
      <c r="G842" s="6" t="s">
        <v>2676</v>
      </c>
      <c r="H842" t="s">
        <v>27</v>
      </c>
      <c r="I842" s="1" t="s">
        <v>2677</v>
      </c>
      <c r="J842" s="6"/>
    </row>
    <row r="843" spans="1:10" ht="42.75" x14ac:dyDescent="0.2">
      <c r="A843" s="1" t="s">
        <v>2680</v>
      </c>
      <c r="B843" s="6">
        <v>0.8</v>
      </c>
      <c r="C843" s="6" t="s">
        <v>54</v>
      </c>
      <c r="D843" s="6" t="str">
        <f>"29/32"</f>
        <v>29/32</v>
      </c>
      <c r="E843" s="6">
        <v>0.1</v>
      </c>
      <c r="F843" s="6" t="s">
        <v>2681</v>
      </c>
      <c r="G843" s="6" t="s">
        <v>2681</v>
      </c>
      <c r="H843" t="s">
        <v>528</v>
      </c>
      <c r="I843" s="1" t="s">
        <v>2682</v>
      </c>
      <c r="J843" s="6"/>
    </row>
    <row r="844" spans="1:10" x14ac:dyDescent="0.2">
      <c r="A844" s="1" t="s">
        <v>2781</v>
      </c>
      <c r="B844" s="6">
        <v>0.8</v>
      </c>
      <c r="C844" s="6" t="s">
        <v>54</v>
      </c>
      <c r="D844" s="6" t="str">
        <f>"139/145"</f>
        <v>139/145</v>
      </c>
      <c r="E844" s="6">
        <v>0.6</v>
      </c>
      <c r="F844" s="6" t="s">
        <v>2782</v>
      </c>
      <c r="G844" s="6" t="s">
        <v>2783</v>
      </c>
      <c r="H844" t="s">
        <v>102</v>
      </c>
      <c r="I844" s="1" t="s">
        <v>1691</v>
      </c>
      <c r="J844" s="6"/>
    </row>
    <row r="845" spans="1:10" ht="28.5" x14ac:dyDescent="0.2">
      <c r="A845" s="1" t="s">
        <v>2810</v>
      </c>
      <c r="B845" s="6">
        <v>0.8</v>
      </c>
      <c r="C845" s="6" t="s">
        <v>54</v>
      </c>
      <c r="D845" s="6" t="str">
        <f>"253/275"</f>
        <v>253/275</v>
      </c>
      <c r="E845" s="6">
        <v>0.2</v>
      </c>
      <c r="F845" s="6" t="s">
        <v>2811</v>
      </c>
      <c r="G845" s="6" t="s">
        <v>2812</v>
      </c>
      <c r="H845" t="s">
        <v>190</v>
      </c>
      <c r="I845" s="1" t="s">
        <v>2813</v>
      </c>
      <c r="J845" s="6"/>
    </row>
    <row r="846" spans="1:10" ht="28.5" x14ac:dyDescent="0.2">
      <c r="A846" s="1" t="s">
        <v>344</v>
      </c>
      <c r="B846" s="6">
        <v>0.7</v>
      </c>
      <c r="C846" s="6" t="s">
        <v>54</v>
      </c>
      <c r="D846" s="6" t="str">
        <f>"259/275"</f>
        <v>259/275</v>
      </c>
      <c r="E846" s="6">
        <v>0.2</v>
      </c>
      <c r="F846" s="6" t="s">
        <v>345</v>
      </c>
      <c r="G846" s="6" t="s">
        <v>60</v>
      </c>
      <c r="H846" t="s">
        <v>190</v>
      </c>
      <c r="I846" s="1" t="s">
        <v>346</v>
      </c>
      <c r="J846" s="6"/>
    </row>
    <row r="847" spans="1:10" x14ac:dyDescent="0.2">
      <c r="A847" s="1" t="s">
        <v>427</v>
      </c>
      <c r="B847" s="6">
        <v>0.7</v>
      </c>
      <c r="C847" s="6" t="s">
        <v>54</v>
      </c>
      <c r="D847" s="6" t="str">
        <f>"130/137"</f>
        <v>130/137</v>
      </c>
      <c r="E847" s="6">
        <v>0.2</v>
      </c>
      <c r="F847" s="6" t="s">
        <v>428</v>
      </c>
      <c r="G847" s="6" t="s">
        <v>429</v>
      </c>
      <c r="H847" t="s">
        <v>292</v>
      </c>
      <c r="I847" s="1" t="s">
        <v>430</v>
      </c>
      <c r="J847" s="6"/>
    </row>
    <row r="848" spans="1:10" x14ac:dyDescent="0.2">
      <c r="A848" s="1" t="s">
        <v>739</v>
      </c>
      <c r="B848" s="6">
        <v>0.7</v>
      </c>
      <c r="C848" s="6" t="s">
        <v>54</v>
      </c>
      <c r="D848" s="6" t="str">
        <f>"130/137"</f>
        <v>130/137</v>
      </c>
      <c r="E848" s="6">
        <v>0.1</v>
      </c>
      <c r="F848" s="6" t="s">
        <v>740</v>
      </c>
      <c r="G848" s="6" t="s">
        <v>741</v>
      </c>
      <c r="H848" t="s">
        <v>107</v>
      </c>
      <c r="I848" s="1" t="s">
        <v>742</v>
      </c>
      <c r="J848" s="6"/>
    </row>
    <row r="849" spans="1:10" ht="28.5" x14ac:dyDescent="0.2">
      <c r="A849" s="1" t="s">
        <v>905</v>
      </c>
      <c r="B849" s="6">
        <v>0.7</v>
      </c>
      <c r="C849" s="6" t="s">
        <v>54</v>
      </c>
      <c r="D849" s="6" t="str">
        <f>"130/137"</f>
        <v>130/137</v>
      </c>
      <c r="E849" s="6">
        <v>0.1</v>
      </c>
      <c r="F849" s="6" t="s">
        <v>906</v>
      </c>
      <c r="G849" s="6" t="s">
        <v>906</v>
      </c>
      <c r="H849" t="s">
        <v>528</v>
      </c>
      <c r="I849" s="1" t="s">
        <v>907</v>
      </c>
      <c r="J849" s="6"/>
    </row>
    <row r="850" spans="1:10" ht="28.5" x14ac:dyDescent="0.2">
      <c r="A850" s="1" t="s">
        <v>962</v>
      </c>
      <c r="B850" s="6">
        <v>0.7</v>
      </c>
      <c r="C850" s="6" t="s">
        <v>54</v>
      </c>
      <c r="D850" s="6" t="str">
        <f>"229/267"</f>
        <v>229/267</v>
      </c>
      <c r="E850" s="6">
        <v>0.4</v>
      </c>
      <c r="F850" s="6" t="s">
        <v>963</v>
      </c>
      <c r="G850" s="6" t="s">
        <v>964</v>
      </c>
      <c r="H850" t="s">
        <v>15</v>
      </c>
      <c r="I850" s="1" t="s">
        <v>755</v>
      </c>
      <c r="J850" s="6"/>
    </row>
    <row r="851" spans="1:10" x14ac:dyDescent="0.2">
      <c r="A851" s="1" t="s">
        <v>1389</v>
      </c>
      <c r="B851" s="6">
        <v>0.7</v>
      </c>
      <c r="C851" s="6" t="s">
        <v>54</v>
      </c>
      <c r="D851" s="6" t="str">
        <f>"97/103"</f>
        <v>97/103</v>
      </c>
      <c r="E851" s="6">
        <v>0.1</v>
      </c>
      <c r="F851" s="6" t="s">
        <v>1390</v>
      </c>
      <c r="G851" s="6" t="s">
        <v>1391</v>
      </c>
      <c r="H851" t="s">
        <v>27</v>
      </c>
      <c r="I851" s="1" t="s">
        <v>16</v>
      </c>
      <c r="J851" s="6"/>
    </row>
    <row r="852" spans="1:10" x14ac:dyDescent="0.2">
      <c r="A852" s="1" t="s">
        <v>1730</v>
      </c>
      <c r="B852" s="6">
        <v>0.7</v>
      </c>
      <c r="C852" s="6" t="s">
        <v>54</v>
      </c>
      <c r="D852" s="6" t="str">
        <f>"62/67"</f>
        <v>62/67</v>
      </c>
      <c r="E852" s="6">
        <v>0.2</v>
      </c>
      <c r="F852" s="6" t="s">
        <v>1731</v>
      </c>
      <c r="G852" s="6" t="s">
        <v>1732</v>
      </c>
      <c r="H852" t="s">
        <v>15</v>
      </c>
      <c r="I852" s="1" t="s">
        <v>44</v>
      </c>
      <c r="J852" s="6"/>
    </row>
    <row r="853" spans="1:10" ht="28.5" x14ac:dyDescent="0.2">
      <c r="A853" s="1" t="s">
        <v>2504</v>
      </c>
      <c r="B853" s="6">
        <v>0.7</v>
      </c>
      <c r="C853" s="6" t="s">
        <v>54</v>
      </c>
      <c r="D853" s="6" t="str">
        <f>"229/267"</f>
        <v>229/267</v>
      </c>
      <c r="E853" s="6">
        <v>0.3</v>
      </c>
      <c r="F853" s="6" t="s">
        <v>2505</v>
      </c>
      <c r="G853" s="6" t="s">
        <v>2505</v>
      </c>
      <c r="H853" t="s">
        <v>15</v>
      </c>
      <c r="I853" s="1" t="s">
        <v>248</v>
      </c>
      <c r="J853" s="6"/>
    </row>
    <row r="854" spans="1:10" x14ac:dyDescent="0.2">
      <c r="A854" s="1" t="s">
        <v>2624</v>
      </c>
      <c r="B854" s="6">
        <v>0.7</v>
      </c>
      <c r="C854" s="6" t="s">
        <v>54</v>
      </c>
      <c r="D854" s="6" t="str">
        <f>"131/139"</f>
        <v>131/139</v>
      </c>
      <c r="E854" s="6">
        <v>0.2</v>
      </c>
      <c r="F854" s="6" t="s">
        <v>2625</v>
      </c>
      <c r="G854" s="6" t="s">
        <v>2626</v>
      </c>
      <c r="H854" t="s">
        <v>10</v>
      </c>
      <c r="I854" s="1" t="s">
        <v>220</v>
      </c>
      <c r="J854" s="6"/>
    </row>
    <row r="855" spans="1:10" ht="42.75" x14ac:dyDescent="0.2">
      <c r="A855" s="1" t="s">
        <v>2645</v>
      </c>
      <c r="B855" s="6">
        <v>0.7</v>
      </c>
      <c r="C855" s="6" t="s">
        <v>54</v>
      </c>
      <c r="D855" s="6" t="str">
        <f>"62/63"</f>
        <v>62/63</v>
      </c>
      <c r="E855" s="6">
        <v>0.2</v>
      </c>
      <c r="F855" s="6" t="s">
        <v>2646</v>
      </c>
      <c r="G855" s="6" t="s">
        <v>2647</v>
      </c>
      <c r="H855" t="s">
        <v>144</v>
      </c>
      <c r="I855" s="1" t="s">
        <v>1736</v>
      </c>
      <c r="J855" s="6"/>
    </row>
    <row r="856" spans="1:10" ht="28.5" x14ac:dyDescent="0.2">
      <c r="A856" s="1" t="s">
        <v>2731</v>
      </c>
      <c r="B856" s="6">
        <v>0.7</v>
      </c>
      <c r="C856" s="6" t="s">
        <v>54</v>
      </c>
      <c r="D856" s="6" t="str">
        <f>"259/275"</f>
        <v>259/275</v>
      </c>
      <c r="E856" s="6">
        <v>0.1</v>
      </c>
      <c r="F856" s="6" t="s">
        <v>2732</v>
      </c>
      <c r="G856" s="6" t="s">
        <v>2733</v>
      </c>
      <c r="H856" t="s">
        <v>27</v>
      </c>
      <c r="I856" s="1" t="s">
        <v>2734</v>
      </c>
      <c r="J856" s="6"/>
    </row>
    <row r="857" spans="1:10" ht="28.5" x14ac:dyDescent="0.2">
      <c r="A857" s="1" t="s">
        <v>593</v>
      </c>
      <c r="B857" s="6">
        <v>0.6</v>
      </c>
      <c r="C857" s="6" t="s">
        <v>54</v>
      </c>
      <c r="D857" s="6" t="str">
        <f>"93/100"</f>
        <v>93/100</v>
      </c>
      <c r="E857" s="6">
        <v>0</v>
      </c>
      <c r="F857" s="6" t="s">
        <v>594</v>
      </c>
      <c r="G857" s="6" t="s">
        <v>595</v>
      </c>
      <c r="H857" t="s">
        <v>528</v>
      </c>
      <c r="I857" s="1" t="s">
        <v>596</v>
      </c>
      <c r="J857" s="6"/>
    </row>
    <row r="858" spans="1:10" x14ac:dyDescent="0.2">
      <c r="A858" s="1" t="s">
        <v>631</v>
      </c>
      <c r="B858" s="6">
        <v>0.6</v>
      </c>
      <c r="C858" s="6" t="s">
        <v>54</v>
      </c>
      <c r="D858" s="6" t="str">
        <f>"31/34"</f>
        <v>31/34</v>
      </c>
      <c r="E858" s="6" t="s">
        <v>60</v>
      </c>
      <c r="F858" s="6" t="s">
        <v>632</v>
      </c>
      <c r="G858" s="6" t="s">
        <v>632</v>
      </c>
      <c r="H858" t="s">
        <v>15</v>
      </c>
      <c r="I858" s="1" t="s">
        <v>633</v>
      </c>
      <c r="J858" s="6"/>
    </row>
    <row r="859" spans="1:10" x14ac:dyDescent="0.2">
      <c r="A859" s="1" t="s">
        <v>821</v>
      </c>
      <c r="B859" s="6">
        <v>0.6</v>
      </c>
      <c r="C859" s="6" t="s">
        <v>54</v>
      </c>
      <c r="D859" s="6" t="str">
        <f>"93/100"</f>
        <v>93/100</v>
      </c>
      <c r="E859" s="6">
        <v>0.1</v>
      </c>
      <c r="F859" s="6" t="s">
        <v>822</v>
      </c>
      <c r="G859" s="6" t="s">
        <v>60</v>
      </c>
      <c r="H859" t="s">
        <v>144</v>
      </c>
      <c r="I859" s="1" t="s">
        <v>823</v>
      </c>
      <c r="J859" s="6"/>
    </row>
    <row r="860" spans="1:10" ht="28.5" x14ac:dyDescent="0.2">
      <c r="A860" s="1" t="s">
        <v>1003</v>
      </c>
      <c r="B860" s="6">
        <v>0.6</v>
      </c>
      <c r="C860" s="6" t="s">
        <v>54</v>
      </c>
      <c r="D860" s="6" t="str">
        <f>"85/90"</f>
        <v>85/90</v>
      </c>
      <c r="E860" s="6">
        <v>0.2</v>
      </c>
      <c r="F860" s="6" t="s">
        <v>1004</v>
      </c>
      <c r="G860" s="6" t="s">
        <v>1005</v>
      </c>
      <c r="H860" t="s">
        <v>327</v>
      </c>
      <c r="I860" s="1" t="s">
        <v>1006</v>
      </c>
      <c r="J860" s="6"/>
    </row>
    <row r="861" spans="1:10" x14ac:dyDescent="0.2">
      <c r="A861" s="1" t="s">
        <v>1069</v>
      </c>
      <c r="B861" s="6">
        <v>0.6</v>
      </c>
      <c r="C861" s="6" t="s">
        <v>54</v>
      </c>
      <c r="D861" s="6" t="str">
        <f>"264/275"</f>
        <v>264/275</v>
      </c>
      <c r="E861" s="6">
        <v>0.2</v>
      </c>
      <c r="F861" s="6" t="s">
        <v>1070</v>
      </c>
      <c r="G861" s="6" t="s">
        <v>1071</v>
      </c>
      <c r="H861" t="s">
        <v>27</v>
      </c>
      <c r="I861" s="1" t="s">
        <v>1072</v>
      </c>
      <c r="J861" s="6"/>
    </row>
    <row r="862" spans="1:10" x14ac:dyDescent="0.2">
      <c r="A862" s="1" t="s">
        <v>1506</v>
      </c>
      <c r="B862" s="6">
        <v>0.6</v>
      </c>
      <c r="C862" s="6" t="s">
        <v>54</v>
      </c>
      <c r="D862" s="6" t="str">
        <f>"16/19"</f>
        <v>16/19</v>
      </c>
      <c r="E862" s="6">
        <v>0.1</v>
      </c>
      <c r="F862" s="6" t="s">
        <v>1507</v>
      </c>
      <c r="G862" s="6" t="s">
        <v>1508</v>
      </c>
      <c r="H862" t="s">
        <v>292</v>
      </c>
      <c r="I862" s="1" t="s">
        <v>430</v>
      </c>
      <c r="J862" s="6"/>
    </row>
    <row r="863" spans="1:10" x14ac:dyDescent="0.2">
      <c r="A863" s="1" t="s">
        <v>1580</v>
      </c>
      <c r="B863" s="6">
        <v>0.6</v>
      </c>
      <c r="C863" s="6" t="s">
        <v>54</v>
      </c>
      <c r="D863" s="6" t="str">
        <f>"38/40"</f>
        <v>38/40</v>
      </c>
      <c r="E863" s="6">
        <v>0.1</v>
      </c>
      <c r="F863" s="6" t="s">
        <v>1581</v>
      </c>
      <c r="G863" s="6" t="s">
        <v>1582</v>
      </c>
      <c r="H863" t="s">
        <v>27</v>
      </c>
      <c r="I863" s="1" t="s">
        <v>430</v>
      </c>
      <c r="J863" s="6"/>
    </row>
    <row r="864" spans="1:10" ht="28.5" x14ac:dyDescent="0.2">
      <c r="A864" s="1" t="s">
        <v>1688</v>
      </c>
      <c r="B864" s="6">
        <v>0.6</v>
      </c>
      <c r="C864" s="6" t="s">
        <v>54</v>
      </c>
      <c r="D864" s="6" t="str">
        <f>"264/275"</f>
        <v>264/275</v>
      </c>
      <c r="E864" s="6">
        <v>0.3</v>
      </c>
      <c r="F864" s="6" t="s">
        <v>1689</v>
      </c>
      <c r="G864" s="6" t="s">
        <v>1690</v>
      </c>
      <c r="H864" t="s">
        <v>102</v>
      </c>
      <c r="I864" s="1" t="s">
        <v>1691</v>
      </c>
      <c r="J864" s="6"/>
    </row>
    <row r="865" spans="1:10" ht="42.75" x14ac:dyDescent="0.2">
      <c r="A865" s="1" t="s">
        <v>1733</v>
      </c>
      <c r="B865" s="6">
        <v>0.6</v>
      </c>
      <c r="C865" s="6" t="s">
        <v>54</v>
      </c>
      <c r="D865" s="6" t="str">
        <f>"85/90"</f>
        <v>85/90</v>
      </c>
      <c r="E865" s="6">
        <v>0.1</v>
      </c>
      <c r="F865" s="6" t="s">
        <v>1734</v>
      </c>
      <c r="G865" s="6" t="s">
        <v>1735</v>
      </c>
      <c r="H865" t="s">
        <v>144</v>
      </c>
      <c r="I865" s="1" t="s">
        <v>1736</v>
      </c>
      <c r="J865" s="6"/>
    </row>
    <row r="866" spans="1:10" ht="42.75" x14ac:dyDescent="0.2">
      <c r="A866" s="1" t="s">
        <v>1752</v>
      </c>
      <c r="B866" s="6">
        <v>0.6</v>
      </c>
      <c r="C866" s="6" t="s">
        <v>54</v>
      </c>
      <c r="D866" s="6" t="str">
        <f>"64/68"</f>
        <v>64/68</v>
      </c>
      <c r="E866" s="6">
        <v>0.2</v>
      </c>
      <c r="F866" s="6" t="s">
        <v>1753</v>
      </c>
      <c r="G866" s="6" t="s">
        <v>1754</v>
      </c>
      <c r="H866" t="s">
        <v>132</v>
      </c>
      <c r="I866" s="1" t="s">
        <v>1755</v>
      </c>
      <c r="J866" s="6"/>
    </row>
    <row r="867" spans="1:10" x14ac:dyDescent="0.2">
      <c r="A867" s="1" t="s">
        <v>2301</v>
      </c>
      <c r="B867" s="6">
        <v>0.6</v>
      </c>
      <c r="C867" s="6" t="s">
        <v>54</v>
      </c>
      <c r="D867" s="6" t="str">
        <f>"54/55"</f>
        <v>54/55</v>
      </c>
      <c r="E867" s="6">
        <v>0.1</v>
      </c>
      <c r="F867" s="6" t="s">
        <v>2302</v>
      </c>
      <c r="G867" s="6" t="s">
        <v>60</v>
      </c>
      <c r="H867" t="s">
        <v>528</v>
      </c>
      <c r="I867" s="1" t="s">
        <v>2303</v>
      </c>
      <c r="J867" s="6"/>
    </row>
    <row r="868" spans="1:10" x14ac:dyDescent="0.2">
      <c r="A868" s="1" t="s">
        <v>2493</v>
      </c>
      <c r="B868" s="6">
        <v>0.6</v>
      </c>
      <c r="C868" s="6" t="s">
        <v>18</v>
      </c>
      <c r="D868" s="6" t="str">
        <f>"243/330"</f>
        <v>243/330</v>
      </c>
      <c r="E868" s="6">
        <v>0.1</v>
      </c>
      <c r="F868" s="6" t="s">
        <v>2494</v>
      </c>
      <c r="G868" s="6" t="s">
        <v>2495</v>
      </c>
      <c r="H868" t="s">
        <v>102</v>
      </c>
      <c r="I868" s="1" t="s">
        <v>103</v>
      </c>
      <c r="J868" s="6"/>
    </row>
    <row r="869" spans="1:10" ht="42.75" x14ac:dyDescent="0.2">
      <c r="A869" s="1" t="s">
        <v>2630</v>
      </c>
      <c r="B869" s="6">
        <v>0.6</v>
      </c>
      <c r="C869" s="6" t="s">
        <v>54</v>
      </c>
      <c r="D869" s="6" t="str">
        <f>"64/68"</f>
        <v>64/68</v>
      </c>
      <c r="E869" s="6">
        <v>0.4</v>
      </c>
      <c r="F869" s="6" t="s">
        <v>2631</v>
      </c>
      <c r="G869" s="6" t="s">
        <v>2632</v>
      </c>
      <c r="H869" t="s">
        <v>10</v>
      </c>
      <c r="I869" s="1" t="s">
        <v>2633</v>
      </c>
      <c r="J869" s="6"/>
    </row>
    <row r="870" spans="1:10" x14ac:dyDescent="0.2">
      <c r="A870" s="1" t="s">
        <v>2846</v>
      </c>
      <c r="B870" s="6">
        <v>0.6</v>
      </c>
      <c r="C870" s="6" t="s">
        <v>54</v>
      </c>
      <c r="D870" s="6" t="str">
        <f>"41/41"</f>
        <v>41/41</v>
      </c>
      <c r="E870" s="6">
        <v>0.3</v>
      </c>
      <c r="F870" s="6" t="s">
        <v>2847</v>
      </c>
      <c r="G870" s="6" t="s">
        <v>2847</v>
      </c>
      <c r="H870" t="s">
        <v>226</v>
      </c>
      <c r="I870" s="1" t="s">
        <v>2848</v>
      </c>
      <c r="J870" s="6"/>
    </row>
    <row r="871" spans="1:10" x14ac:dyDescent="0.2">
      <c r="A871" s="1" t="s">
        <v>141</v>
      </c>
      <c r="B871" s="6">
        <v>0.5</v>
      </c>
      <c r="C871" s="6" t="s">
        <v>54</v>
      </c>
      <c r="D871" s="6" t="str">
        <f>"33/34"</f>
        <v>33/34</v>
      </c>
      <c r="E871" s="6">
        <v>0.1</v>
      </c>
      <c r="F871" s="6" t="s">
        <v>142</v>
      </c>
      <c r="G871" s="6" t="s">
        <v>143</v>
      </c>
      <c r="H871" t="s">
        <v>144</v>
      </c>
      <c r="I871" s="1" t="s">
        <v>145</v>
      </c>
      <c r="J871" s="6"/>
    </row>
    <row r="872" spans="1:10" ht="28.5" x14ac:dyDescent="0.2">
      <c r="A872" s="1" t="s">
        <v>241</v>
      </c>
      <c r="B872" s="6">
        <v>0.5</v>
      </c>
      <c r="C872" s="6" t="s">
        <v>54</v>
      </c>
      <c r="D872" s="6" t="str">
        <f>"50/50"</f>
        <v>50/50</v>
      </c>
      <c r="E872" s="6">
        <v>0</v>
      </c>
      <c r="F872" s="6" t="s">
        <v>242</v>
      </c>
      <c r="G872" s="6" t="s">
        <v>242</v>
      </c>
      <c r="H872" t="s">
        <v>243</v>
      </c>
      <c r="I872" s="1" t="s">
        <v>244</v>
      </c>
      <c r="J872" s="6"/>
    </row>
    <row r="873" spans="1:10" x14ac:dyDescent="0.2">
      <c r="A873" s="1" t="s">
        <v>311</v>
      </c>
      <c r="B873" s="6">
        <v>0.5</v>
      </c>
      <c r="C873" s="6" t="s">
        <v>54</v>
      </c>
      <c r="D873" s="6" t="str">
        <f>"64/73"</f>
        <v>64/73</v>
      </c>
      <c r="E873" s="6">
        <v>0</v>
      </c>
      <c r="F873" s="6" t="s">
        <v>312</v>
      </c>
      <c r="G873" s="6" t="s">
        <v>60</v>
      </c>
      <c r="H873" t="s">
        <v>111</v>
      </c>
      <c r="I873" s="1" t="s">
        <v>313</v>
      </c>
      <c r="J873" s="6"/>
    </row>
    <row r="874" spans="1:10" ht="28.5" x14ac:dyDescent="0.2">
      <c r="A874" s="1" t="s">
        <v>347</v>
      </c>
      <c r="B874" s="6">
        <v>0.5</v>
      </c>
      <c r="C874" s="6" t="s">
        <v>54</v>
      </c>
      <c r="D874" s="6" t="str">
        <f>"102/107"</f>
        <v>102/107</v>
      </c>
      <c r="E874" s="6">
        <v>0.1</v>
      </c>
      <c r="F874" s="6" t="s">
        <v>348</v>
      </c>
      <c r="G874" s="6" t="s">
        <v>60</v>
      </c>
      <c r="H874" t="s">
        <v>132</v>
      </c>
      <c r="I874" s="1" t="s">
        <v>349</v>
      </c>
      <c r="J874" s="6"/>
    </row>
    <row r="875" spans="1:10" x14ac:dyDescent="0.2">
      <c r="A875" s="1" t="s">
        <v>831</v>
      </c>
      <c r="B875" s="6">
        <v>0.5</v>
      </c>
      <c r="C875" s="6" t="s">
        <v>54</v>
      </c>
      <c r="D875" s="6" t="str">
        <f>"331/344"</f>
        <v>331/344</v>
      </c>
      <c r="E875" s="6">
        <v>0.1</v>
      </c>
      <c r="F875" s="6" t="s">
        <v>832</v>
      </c>
      <c r="G875" s="6" t="s">
        <v>833</v>
      </c>
      <c r="H875" t="s">
        <v>15</v>
      </c>
      <c r="I875" s="1" t="s">
        <v>834</v>
      </c>
      <c r="J875" s="6"/>
    </row>
    <row r="876" spans="1:10" x14ac:dyDescent="0.2">
      <c r="A876" s="1" t="s">
        <v>838</v>
      </c>
      <c r="B876" s="6">
        <v>0.5</v>
      </c>
      <c r="C876" s="6" t="s">
        <v>54</v>
      </c>
      <c r="D876" s="6" t="str">
        <f>"24/24"</f>
        <v>24/24</v>
      </c>
      <c r="E876" s="6">
        <v>0.1</v>
      </c>
      <c r="F876" s="6" t="s">
        <v>839</v>
      </c>
      <c r="G876" s="6" t="s">
        <v>60</v>
      </c>
      <c r="H876" t="s">
        <v>379</v>
      </c>
      <c r="I876" s="1" t="s">
        <v>838</v>
      </c>
      <c r="J876" s="6"/>
    </row>
    <row r="877" spans="1:10" x14ac:dyDescent="0.2">
      <c r="A877" s="1" t="s">
        <v>851</v>
      </c>
      <c r="B877" s="6">
        <v>0.5</v>
      </c>
      <c r="C877" s="6" t="s">
        <v>54</v>
      </c>
      <c r="D877" s="6" t="str">
        <f>"32/34"</f>
        <v>32/34</v>
      </c>
      <c r="E877" s="6">
        <v>0.1</v>
      </c>
      <c r="F877" s="6" t="s">
        <v>852</v>
      </c>
      <c r="G877" s="6" t="s">
        <v>853</v>
      </c>
      <c r="H877" t="s">
        <v>10</v>
      </c>
      <c r="I877" s="1" t="s">
        <v>137</v>
      </c>
      <c r="J877" s="6"/>
    </row>
    <row r="878" spans="1:10" x14ac:dyDescent="0.2">
      <c r="A878" s="1" t="s">
        <v>1107</v>
      </c>
      <c r="B878" s="6">
        <v>0.5</v>
      </c>
      <c r="C878" s="6" t="s">
        <v>54</v>
      </c>
      <c r="D878" s="6" t="str">
        <f>"87/90"</f>
        <v>87/90</v>
      </c>
      <c r="E878" s="6">
        <v>0.1</v>
      </c>
      <c r="F878" s="6" t="s">
        <v>1108</v>
      </c>
      <c r="G878" s="6" t="s">
        <v>1109</v>
      </c>
      <c r="H878" t="s">
        <v>932</v>
      </c>
      <c r="I878" s="1" t="s">
        <v>1110</v>
      </c>
      <c r="J878" s="6"/>
    </row>
    <row r="879" spans="1:10" ht="28.5" x14ac:dyDescent="0.2">
      <c r="A879" s="1" t="s">
        <v>1398</v>
      </c>
      <c r="B879" s="6">
        <v>0.5</v>
      </c>
      <c r="C879" s="6" t="s">
        <v>54</v>
      </c>
      <c r="D879" s="6" t="str">
        <f>"133/136"</f>
        <v>133/136</v>
      </c>
      <c r="E879" s="6">
        <v>0.3</v>
      </c>
      <c r="F879" s="6" t="s">
        <v>1399</v>
      </c>
      <c r="G879" s="6" t="s">
        <v>1399</v>
      </c>
      <c r="H879" t="s">
        <v>57</v>
      </c>
      <c r="I879" s="1" t="s">
        <v>1400</v>
      </c>
      <c r="J879" s="6"/>
    </row>
    <row r="880" spans="1:10" x14ac:dyDescent="0.2">
      <c r="A880" s="1" t="s">
        <v>1419</v>
      </c>
      <c r="B880" s="6">
        <v>0.5</v>
      </c>
      <c r="C880" s="6" t="s">
        <v>54</v>
      </c>
      <c r="D880" s="6" t="str">
        <f>"39/40"</f>
        <v>39/40</v>
      </c>
      <c r="E880" s="6">
        <v>0</v>
      </c>
      <c r="F880" s="6" t="s">
        <v>1420</v>
      </c>
      <c r="G880" s="6" t="s">
        <v>1421</v>
      </c>
      <c r="H880" t="s">
        <v>292</v>
      </c>
      <c r="I880" s="1" t="s">
        <v>430</v>
      </c>
      <c r="J880" s="6"/>
    </row>
    <row r="881" spans="1:10" ht="42.75" x14ac:dyDescent="0.2">
      <c r="A881" s="1" t="s">
        <v>1837</v>
      </c>
      <c r="B881" s="6">
        <v>0.5</v>
      </c>
      <c r="C881" s="6" t="s">
        <v>54</v>
      </c>
      <c r="D881" s="6" t="str">
        <f>"267/275"</f>
        <v>267/275</v>
      </c>
      <c r="E881" s="6">
        <v>0.1</v>
      </c>
      <c r="F881" s="6" t="s">
        <v>1838</v>
      </c>
      <c r="G881" s="6" t="s">
        <v>1839</v>
      </c>
      <c r="H881" t="s">
        <v>111</v>
      </c>
      <c r="I881" s="1" t="s">
        <v>1840</v>
      </c>
      <c r="J881" s="6"/>
    </row>
    <row r="882" spans="1:10" ht="42.75" x14ac:dyDescent="0.2">
      <c r="A882" s="1" t="s">
        <v>1841</v>
      </c>
      <c r="B882" s="6">
        <v>0.5</v>
      </c>
      <c r="C882" s="6" t="s">
        <v>54</v>
      </c>
      <c r="D882" s="6" t="str">
        <f>"267/275"</f>
        <v>267/275</v>
      </c>
      <c r="E882" s="6">
        <v>0.3</v>
      </c>
      <c r="F882" s="6" t="s">
        <v>1842</v>
      </c>
      <c r="G882" s="6" t="s">
        <v>1843</v>
      </c>
      <c r="H882" t="s">
        <v>111</v>
      </c>
      <c r="I882" s="1" t="s">
        <v>1840</v>
      </c>
      <c r="J882" s="6"/>
    </row>
    <row r="883" spans="1:10" x14ac:dyDescent="0.2">
      <c r="A883" s="1" t="s">
        <v>2282</v>
      </c>
      <c r="B883" s="6">
        <v>0.5</v>
      </c>
      <c r="C883" s="6" t="s">
        <v>54</v>
      </c>
      <c r="D883" s="6" t="str">
        <f>"267/275"</f>
        <v>267/275</v>
      </c>
      <c r="E883" s="6" t="s">
        <v>60</v>
      </c>
      <c r="F883" s="6" t="s">
        <v>2283</v>
      </c>
      <c r="G883" s="6" t="s">
        <v>2284</v>
      </c>
      <c r="H883" t="s">
        <v>2285</v>
      </c>
      <c r="I883" s="1" t="s">
        <v>2286</v>
      </c>
      <c r="J883" s="6"/>
    </row>
    <row r="884" spans="1:10" x14ac:dyDescent="0.2">
      <c r="A884" s="1" t="s">
        <v>2660</v>
      </c>
      <c r="B884" s="6">
        <v>0.5</v>
      </c>
      <c r="C884" s="6" t="s">
        <v>54</v>
      </c>
      <c r="D884" s="6" t="str">
        <f>"32/34"</f>
        <v>32/34</v>
      </c>
      <c r="E884" s="6">
        <v>0.1</v>
      </c>
      <c r="F884" s="6" t="s">
        <v>2661</v>
      </c>
      <c r="G884" s="6" t="s">
        <v>2662</v>
      </c>
      <c r="H884" t="s">
        <v>144</v>
      </c>
      <c r="I884" s="1" t="s">
        <v>133</v>
      </c>
      <c r="J884" s="6"/>
    </row>
    <row r="885" spans="1:10" ht="28.5" x14ac:dyDescent="0.2">
      <c r="A885" s="1" t="s">
        <v>160</v>
      </c>
      <c r="B885" s="6">
        <v>0.4</v>
      </c>
      <c r="C885" s="6" t="s">
        <v>54</v>
      </c>
      <c r="D885" s="6" t="str">
        <f>"134/139"</f>
        <v>134/139</v>
      </c>
      <c r="E885" s="6">
        <v>0.2</v>
      </c>
      <c r="F885" s="6" t="s">
        <v>161</v>
      </c>
      <c r="G885" s="6" t="s">
        <v>162</v>
      </c>
      <c r="H885" t="s">
        <v>163</v>
      </c>
      <c r="I885" s="1" t="s">
        <v>164</v>
      </c>
      <c r="J885" s="6"/>
    </row>
    <row r="886" spans="1:10" ht="28.5" x14ac:dyDescent="0.2">
      <c r="A886" s="1" t="s">
        <v>643</v>
      </c>
      <c r="B886" s="6">
        <v>0.4</v>
      </c>
      <c r="C886" s="6" t="s">
        <v>54</v>
      </c>
      <c r="D886" s="6" t="str">
        <f>"89/90"</f>
        <v>89/90</v>
      </c>
      <c r="E886" s="6">
        <v>0.1</v>
      </c>
      <c r="F886" s="6" t="s">
        <v>644</v>
      </c>
      <c r="G886" s="6" t="s">
        <v>644</v>
      </c>
      <c r="H886" t="s">
        <v>27</v>
      </c>
      <c r="I886" s="1" t="s">
        <v>645</v>
      </c>
      <c r="J886" s="6"/>
    </row>
    <row r="887" spans="1:10" ht="28.5" x14ac:dyDescent="0.2">
      <c r="A887" s="1" t="s">
        <v>698</v>
      </c>
      <c r="B887" s="6">
        <v>0.4</v>
      </c>
      <c r="C887" s="6" t="s">
        <v>54</v>
      </c>
      <c r="D887" s="6" t="str">
        <f>"271/275"</f>
        <v>271/275</v>
      </c>
      <c r="E887" s="6">
        <v>0.1</v>
      </c>
      <c r="F887" s="6" t="s">
        <v>699</v>
      </c>
      <c r="G887" s="6" t="s">
        <v>60</v>
      </c>
      <c r="H887" t="s">
        <v>27</v>
      </c>
      <c r="I887" s="1" t="s">
        <v>700</v>
      </c>
      <c r="J887" s="6"/>
    </row>
    <row r="888" spans="1:10" x14ac:dyDescent="0.2">
      <c r="A888" s="1" t="s">
        <v>908</v>
      </c>
      <c r="B888" s="6">
        <v>0.4</v>
      </c>
      <c r="C888" s="6" t="s">
        <v>54</v>
      </c>
      <c r="D888" s="6" t="str">
        <f>"134/139"</f>
        <v>134/139</v>
      </c>
      <c r="E888" s="6">
        <v>0.1</v>
      </c>
      <c r="F888" s="6" t="s">
        <v>909</v>
      </c>
      <c r="G888" s="6" t="s">
        <v>60</v>
      </c>
      <c r="H888" t="s">
        <v>243</v>
      </c>
      <c r="I888" s="1" t="s">
        <v>910</v>
      </c>
      <c r="J888" s="6"/>
    </row>
    <row r="889" spans="1:10" ht="28.5" x14ac:dyDescent="0.2">
      <c r="A889" s="1" t="s">
        <v>993</v>
      </c>
      <c r="B889" s="6">
        <v>0.4</v>
      </c>
      <c r="C889" s="6" t="s">
        <v>54</v>
      </c>
      <c r="D889" s="6" t="str">
        <f>"14/16"</f>
        <v>14/16</v>
      </c>
      <c r="E889" s="6">
        <v>0.1</v>
      </c>
      <c r="F889" s="6" t="s">
        <v>994</v>
      </c>
      <c r="G889" s="6" t="s">
        <v>995</v>
      </c>
      <c r="H889" t="s">
        <v>27</v>
      </c>
      <c r="I889" s="1" t="s">
        <v>992</v>
      </c>
      <c r="J889" s="6"/>
    </row>
    <row r="890" spans="1:10" x14ac:dyDescent="0.2">
      <c r="A890" s="1" t="s">
        <v>999</v>
      </c>
      <c r="B890" s="6">
        <v>0.4</v>
      </c>
      <c r="C890" s="6" t="s">
        <v>54</v>
      </c>
      <c r="D890" s="6" t="str">
        <f>"271/275"</f>
        <v>271/275</v>
      </c>
      <c r="E890" s="6">
        <v>0.1</v>
      </c>
      <c r="F890" s="6" t="s">
        <v>1000</v>
      </c>
      <c r="G890" s="6" t="s">
        <v>1001</v>
      </c>
      <c r="H890" t="s">
        <v>21</v>
      </c>
      <c r="I890" s="1" t="s">
        <v>1002</v>
      </c>
      <c r="J890" s="6"/>
    </row>
    <row r="891" spans="1:10" x14ac:dyDescent="0.2">
      <c r="A891" s="1" t="s">
        <v>1048</v>
      </c>
      <c r="B891" s="6">
        <v>0.4</v>
      </c>
      <c r="C891" s="6" t="s">
        <v>54</v>
      </c>
      <c r="D891" s="6" t="str">
        <f>"100/100"</f>
        <v>100/100</v>
      </c>
      <c r="E891" s="6">
        <v>0.1</v>
      </c>
      <c r="F891" s="6" t="s">
        <v>1049</v>
      </c>
      <c r="G891" s="6" t="s">
        <v>1050</v>
      </c>
      <c r="H891" t="s">
        <v>144</v>
      </c>
      <c r="I891" s="1" t="s">
        <v>1051</v>
      </c>
      <c r="J891" s="6"/>
    </row>
    <row r="892" spans="1:10" x14ac:dyDescent="0.2">
      <c r="A892" s="1" t="s">
        <v>1541</v>
      </c>
      <c r="B892" s="6">
        <v>0.4</v>
      </c>
      <c r="C892" s="6" t="s">
        <v>54</v>
      </c>
      <c r="D892" s="6" t="str">
        <f>"14/16"</f>
        <v>14/16</v>
      </c>
      <c r="E892" s="6">
        <v>0.1</v>
      </c>
      <c r="F892" s="6" t="s">
        <v>1542</v>
      </c>
      <c r="G892" s="6" t="s">
        <v>1543</v>
      </c>
      <c r="H892" t="s">
        <v>15</v>
      </c>
      <c r="I892" s="1" t="s">
        <v>1544</v>
      </c>
      <c r="J892" s="6"/>
    </row>
    <row r="893" spans="1:10" x14ac:dyDescent="0.2">
      <c r="A893" s="1" t="s">
        <v>2396</v>
      </c>
      <c r="B893" s="6">
        <v>0.4</v>
      </c>
      <c r="C893" s="6" t="s">
        <v>54</v>
      </c>
      <c r="D893" s="6" t="str">
        <f>"271/275"</f>
        <v>271/275</v>
      </c>
      <c r="E893" s="6">
        <v>0</v>
      </c>
      <c r="F893" s="6" t="s">
        <v>2397</v>
      </c>
      <c r="G893" s="6" t="s">
        <v>2398</v>
      </c>
      <c r="H893" t="s">
        <v>27</v>
      </c>
      <c r="I893" s="1" t="s">
        <v>16</v>
      </c>
      <c r="J893" s="6"/>
    </row>
    <row r="894" spans="1:10" x14ac:dyDescent="0.2">
      <c r="A894" s="1" t="s">
        <v>2463</v>
      </c>
      <c r="B894" s="6">
        <v>0.4</v>
      </c>
      <c r="C894" s="6" t="s">
        <v>54</v>
      </c>
      <c r="D894" s="6" t="str">
        <f>"18/19"</f>
        <v>18/19</v>
      </c>
      <c r="E894" s="6">
        <v>0</v>
      </c>
      <c r="F894" s="6" t="s">
        <v>2464</v>
      </c>
      <c r="G894" s="6" t="s">
        <v>60</v>
      </c>
      <c r="H894" t="s">
        <v>1747</v>
      </c>
      <c r="I894" s="1" t="s">
        <v>2465</v>
      </c>
      <c r="J894" s="6"/>
    </row>
    <row r="895" spans="1:10" x14ac:dyDescent="0.2">
      <c r="A895" s="1" t="s">
        <v>799</v>
      </c>
      <c r="B895" s="6">
        <v>0.3</v>
      </c>
      <c r="C895" s="6" t="s">
        <v>54</v>
      </c>
      <c r="D895" s="6" t="str">
        <f>"50/50"</f>
        <v>50/50</v>
      </c>
      <c r="E895" s="6">
        <v>0</v>
      </c>
      <c r="F895" s="6" t="s">
        <v>800</v>
      </c>
      <c r="G895" s="6" t="s">
        <v>800</v>
      </c>
      <c r="H895" t="s">
        <v>27</v>
      </c>
      <c r="I895" s="1" t="s">
        <v>801</v>
      </c>
      <c r="J895" s="6"/>
    </row>
    <row r="896" spans="1:10" ht="28.5" x14ac:dyDescent="0.2">
      <c r="A896" s="1" t="s">
        <v>1395</v>
      </c>
      <c r="B896" s="6">
        <v>0.3</v>
      </c>
      <c r="C896" s="6" t="s">
        <v>54</v>
      </c>
      <c r="D896" s="6" t="str">
        <f>"136/139"</f>
        <v>136/139</v>
      </c>
      <c r="E896" s="6">
        <v>0.1</v>
      </c>
      <c r="F896" s="6" t="s">
        <v>1396</v>
      </c>
      <c r="G896" s="6" t="s">
        <v>60</v>
      </c>
      <c r="H896" t="s">
        <v>27</v>
      </c>
      <c r="I896" s="1" t="s">
        <v>1397</v>
      </c>
      <c r="J896" s="6"/>
    </row>
    <row r="897" spans="1:10" ht="28.5" x14ac:dyDescent="0.2">
      <c r="A897" s="1" t="s">
        <v>2160</v>
      </c>
      <c r="B897" s="6">
        <v>0.3</v>
      </c>
      <c r="C897" s="6" t="s">
        <v>54</v>
      </c>
      <c r="D897" s="6" t="str">
        <f>"136/139"</f>
        <v>136/139</v>
      </c>
      <c r="E897" s="6">
        <v>0</v>
      </c>
      <c r="F897" s="6" t="s">
        <v>2161</v>
      </c>
      <c r="G897" s="6" t="s">
        <v>2162</v>
      </c>
      <c r="H897" t="s">
        <v>10</v>
      </c>
      <c r="I897" s="1" t="s">
        <v>2163</v>
      </c>
      <c r="J897" s="6"/>
    </row>
    <row r="898" spans="1:10" x14ac:dyDescent="0.2">
      <c r="A898" s="1" t="s">
        <v>2388</v>
      </c>
      <c r="B898" s="6">
        <v>0.3</v>
      </c>
      <c r="C898" s="6" t="s">
        <v>54</v>
      </c>
      <c r="D898" s="6" t="str">
        <f>"274/275"</f>
        <v>274/275</v>
      </c>
      <c r="E898" s="6">
        <v>0.1</v>
      </c>
      <c r="F898" s="6" t="s">
        <v>2389</v>
      </c>
      <c r="G898" s="6" t="s">
        <v>2390</v>
      </c>
      <c r="H898" t="s">
        <v>27</v>
      </c>
      <c r="I898" s="1" t="s">
        <v>16</v>
      </c>
      <c r="J898" s="6"/>
    </row>
    <row r="899" spans="1:10" x14ac:dyDescent="0.2">
      <c r="A899" s="1" t="s">
        <v>2627</v>
      </c>
      <c r="B899" s="6">
        <v>0.3</v>
      </c>
      <c r="C899" s="6" t="s">
        <v>54</v>
      </c>
      <c r="D899" s="6" t="str">
        <f>"66/68"</f>
        <v>66/68</v>
      </c>
      <c r="E899" s="6">
        <v>0.2</v>
      </c>
      <c r="F899" s="6" t="s">
        <v>2628</v>
      </c>
      <c r="G899" s="6" t="s">
        <v>2629</v>
      </c>
      <c r="H899" t="s">
        <v>10</v>
      </c>
      <c r="I899" s="1" t="s">
        <v>220</v>
      </c>
      <c r="J899" s="6"/>
    </row>
    <row r="900" spans="1:10" x14ac:dyDescent="0.2">
      <c r="A900" s="1" t="s">
        <v>234</v>
      </c>
      <c r="B900" s="6">
        <v>0.2</v>
      </c>
      <c r="C900" s="6" t="s">
        <v>54</v>
      </c>
      <c r="D900" s="6" t="str">
        <f>"67/68"</f>
        <v>67/68</v>
      </c>
      <c r="E900" s="6">
        <v>0.3</v>
      </c>
      <c r="F900" s="6" t="s">
        <v>235</v>
      </c>
      <c r="G900" s="6" t="s">
        <v>236</v>
      </c>
      <c r="H900" t="s">
        <v>10</v>
      </c>
      <c r="I900" s="1" t="s">
        <v>220</v>
      </c>
      <c r="J900" s="6"/>
    </row>
    <row r="901" spans="1:10" x14ac:dyDescent="0.2">
      <c r="A901" s="1" t="s">
        <v>561</v>
      </c>
      <c r="B901" s="6">
        <v>0.2</v>
      </c>
      <c r="C901" s="6" t="s">
        <v>54</v>
      </c>
      <c r="D901" s="6" t="str">
        <f>"86/86"</f>
        <v>86/86</v>
      </c>
      <c r="E901" s="6">
        <v>0.3</v>
      </c>
      <c r="F901" s="6" t="s">
        <v>562</v>
      </c>
      <c r="G901" s="6" t="s">
        <v>562</v>
      </c>
      <c r="H901" t="s">
        <v>111</v>
      </c>
      <c r="I901" s="1" t="s">
        <v>563</v>
      </c>
      <c r="J901" s="6"/>
    </row>
    <row r="902" spans="1:10" x14ac:dyDescent="0.2">
      <c r="A902" s="1" t="s">
        <v>665</v>
      </c>
      <c r="B902" s="6">
        <v>0.2</v>
      </c>
      <c r="C902" s="6" t="s">
        <v>54</v>
      </c>
      <c r="D902" s="6" t="str">
        <f>"16/16"</f>
        <v>16/16</v>
      </c>
      <c r="E902" s="6">
        <v>0</v>
      </c>
      <c r="F902" s="6" t="s">
        <v>666</v>
      </c>
      <c r="G902" s="6" t="s">
        <v>667</v>
      </c>
      <c r="H902" t="s">
        <v>27</v>
      </c>
      <c r="I902" s="1" t="s">
        <v>668</v>
      </c>
      <c r="J902" s="6"/>
    </row>
    <row r="903" spans="1:10" ht="28.5" x14ac:dyDescent="0.2">
      <c r="A903" s="1" t="s">
        <v>930</v>
      </c>
      <c r="B903" s="6">
        <v>0.2</v>
      </c>
      <c r="C903" s="6" t="s">
        <v>54</v>
      </c>
      <c r="D903" s="6" t="str">
        <f>"136/136"</f>
        <v>136/136</v>
      </c>
      <c r="E903" s="6">
        <v>0.1</v>
      </c>
      <c r="F903" s="6" t="s">
        <v>931</v>
      </c>
      <c r="G903" s="6" t="s">
        <v>60</v>
      </c>
      <c r="H903" t="s">
        <v>932</v>
      </c>
      <c r="I903" s="1" t="s">
        <v>933</v>
      </c>
      <c r="J903" s="6"/>
    </row>
    <row r="904" spans="1:10" x14ac:dyDescent="0.2">
      <c r="A904" s="1" t="s">
        <v>294</v>
      </c>
      <c r="B904" s="6">
        <v>0.1</v>
      </c>
      <c r="C904" s="6" t="s">
        <v>54</v>
      </c>
      <c r="D904" s="6" t="str">
        <f>"16/16"</f>
        <v>16/16</v>
      </c>
      <c r="E904" s="6">
        <v>0</v>
      </c>
      <c r="F904" s="6" t="s">
        <v>295</v>
      </c>
      <c r="G904" s="6" t="s">
        <v>60</v>
      </c>
      <c r="H904" t="s">
        <v>27</v>
      </c>
      <c r="I904" s="1" t="s">
        <v>296</v>
      </c>
      <c r="J904" s="6"/>
    </row>
    <row r="905" spans="1:10" ht="28.5" x14ac:dyDescent="0.2">
      <c r="A905" s="1" t="s">
        <v>2654</v>
      </c>
      <c r="B905" s="6">
        <v>0.1</v>
      </c>
      <c r="C905" s="6" t="s">
        <v>54</v>
      </c>
      <c r="D905" s="6" t="str">
        <f>"34/34"</f>
        <v>34/34</v>
      </c>
      <c r="E905" s="6">
        <v>0</v>
      </c>
      <c r="F905" s="6" t="s">
        <v>2655</v>
      </c>
      <c r="G905" s="6" t="s">
        <v>60</v>
      </c>
      <c r="H905" t="s">
        <v>10</v>
      </c>
      <c r="I905" s="1" t="s">
        <v>2656</v>
      </c>
      <c r="J905" s="6"/>
    </row>
    <row r="906" spans="1:10" ht="28.5" x14ac:dyDescent="0.2">
      <c r="A906" s="4" t="s">
        <v>2787</v>
      </c>
      <c r="B906" s="7">
        <v>0.1</v>
      </c>
      <c r="C906" s="7" t="s">
        <v>54</v>
      </c>
      <c r="D906" s="7" t="str">
        <f>"34/34"</f>
        <v>34/34</v>
      </c>
      <c r="E906" s="7">
        <v>0</v>
      </c>
      <c r="F906" s="7" t="s">
        <v>2788</v>
      </c>
      <c r="G906" s="7" t="s">
        <v>2788</v>
      </c>
      <c r="H906" s="5" t="s">
        <v>27</v>
      </c>
      <c r="I906" s="1" t="s">
        <v>892</v>
      </c>
      <c r="J906" s="6"/>
    </row>
    <row r="907" spans="1:10" ht="28.5" x14ac:dyDescent="0.2">
      <c r="A907" s="1" t="s">
        <v>59</v>
      </c>
      <c r="B907" s="6" t="s">
        <v>60</v>
      </c>
      <c r="C907" s="6" t="s">
        <v>60</v>
      </c>
      <c r="D907" s="6" t="s">
        <v>60</v>
      </c>
      <c r="E907" s="6" t="s">
        <v>60</v>
      </c>
      <c r="F907" s="6" t="s">
        <v>61</v>
      </c>
      <c r="G907" s="6" t="s">
        <v>60</v>
      </c>
      <c r="H907" t="s">
        <v>57</v>
      </c>
      <c r="I907" s="1" t="s">
        <v>62</v>
      </c>
      <c r="J907" s="6"/>
    </row>
    <row r="908" spans="1:10" x14ac:dyDescent="0.2">
      <c r="A908" s="1" t="s">
        <v>317</v>
      </c>
      <c r="B908" s="6" t="s">
        <v>60</v>
      </c>
      <c r="C908" s="6" t="s">
        <v>60</v>
      </c>
      <c r="D908" s="6" t="s">
        <v>60</v>
      </c>
      <c r="E908" s="6">
        <v>0.2</v>
      </c>
      <c r="F908" s="6" t="s">
        <v>60</v>
      </c>
      <c r="G908" s="6" t="s">
        <v>318</v>
      </c>
      <c r="H908" t="s">
        <v>319</v>
      </c>
      <c r="I908" s="1" t="s">
        <v>320</v>
      </c>
      <c r="J908" s="6"/>
    </row>
    <row r="909" spans="1:10" x14ac:dyDescent="0.2">
      <c r="A909" s="1" t="s">
        <v>339</v>
      </c>
      <c r="B909" s="6" t="s">
        <v>60</v>
      </c>
      <c r="C909" s="6" t="s">
        <v>60</v>
      </c>
      <c r="D909" s="6" t="s">
        <v>60</v>
      </c>
      <c r="E909" s="6" t="s">
        <v>60</v>
      </c>
      <c r="F909" s="6" t="s">
        <v>340</v>
      </c>
      <c r="G909" s="6" t="s">
        <v>60</v>
      </c>
      <c r="H909" t="s">
        <v>15</v>
      </c>
      <c r="I909" s="1" t="s">
        <v>248</v>
      </c>
      <c r="J909" s="6"/>
    </row>
    <row r="910" spans="1:10" x14ac:dyDescent="0.2">
      <c r="A910" s="1" t="s">
        <v>692</v>
      </c>
      <c r="B910" s="6" t="s">
        <v>60</v>
      </c>
      <c r="C910" s="6" t="s">
        <v>60</v>
      </c>
      <c r="D910" s="6" t="s">
        <v>60</v>
      </c>
      <c r="E910" s="6" t="s">
        <v>60</v>
      </c>
      <c r="F910" s="6" t="s">
        <v>693</v>
      </c>
      <c r="G910" s="6" t="s">
        <v>60</v>
      </c>
      <c r="H910" t="s">
        <v>27</v>
      </c>
      <c r="I910" s="1" t="s">
        <v>694</v>
      </c>
      <c r="J910" s="6"/>
    </row>
    <row r="911" spans="1:10" x14ac:dyDescent="0.2">
      <c r="A911" s="1" t="s">
        <v>835</v>
      </c>
      <c r="B911" s="6" t="s">
        <v>60</v>
      </c>
      <c r="C911" s="6" t="s">
        <v>60</v>
      </c>
      <c r="D911" s="6" t="s">
        <v>60</v>
      </c>
      <c r="E911" s="6" t="s">
        <v>60</v>
      </c>
      <c r="F911" s="6" t="s">
        <v>836</v>
      </c>
      <c r="G911" s="6" t="s">
        <v>836</v>
      </c>
      <c r="H911" t="s">
        <v>27</v>
      </c>
      <c r="I911" s="1" t="s">
        <v>837</v>
      </c>
      <c r="J911" s="6"/>
    </row>
    <row r="912" spans="1:10" ht="28.5" x14ac:dyDescent="0.2">
      <c r="A912" s="1" t="s">
        <v>2047</v>
      </c>
      <c r="B912" s="6" t="s">
        <v>60</v>
      </c>
      <c r="C912" s="6" t="s">
        <v>60</v>
      </c>
      <c r="D912" s="6" t="s">
        <v>60</v>
      </c>
      <c r="E912" s="6" t="s">
        <v>60</v>
      </c>
      <c r="F912" s="6" t="s">
        <v>2048</v>
      </c>
      <c r="G912" s="6" t="s">
        <v>60</v>
      </c>
      <c r="H912" t="s">
        <v>27</v>
      </c>
      <c r="I912" s="1" t="s">
        <v>512</v>
      </c>
      <c r="J912" s="6"/>
    </row>
    <row r="913" spans="1:10" x14ac:dyDescent="0.2">
      <c r="A913" s="1" t="s">
        <v>2164</v>
      </c>
      <c r="B913" s="6" t="s">
        <v>60</v>
      </c>
      <c r="C913" s="6" t="s">
        <v>60</v>
      </c>
      <c r="D913" s="6" t="s">
        <v>60</v>
      </c>
      <c r="E913" s="6" t="s">
        <v>60</v>
      </c>
      <c r="F913" s="6" t="s">
        <v>2165</v>
      </c>
      <c r="G913" s="6" t="s">
        <v>60</v>
      </c>
      <c r="H913" t="s">
        <v>102</v>
      </c>
      <c r="I913" s="1" t="s">
        <v>103</v>
      </c>
      <c r="J913" s="6"/>
    </row>
    <row r="914" spans="1:10" x14ac:dyDescent="0.2">
      <c r="A914" s="1" t="s">
        <v>2666</v>
      </c>
      <c r="B914" s="6" t="s">
        <v>60</v>
      </c>
      <c r="C914" s="6" t="s">
        <v>60</v>
      </c>
      <c r="D914" s="6" t="s">
        <v>60</v>
      </c>
      <c r="E914" s="6" t="s">
        <v>60</v>
      </c>
      <c r="F914" s="6" t="s">
        <v>2667</v>
      </c>
      <c r="G914" s="6" t="s">
        <v>60</v>
      </c>
      <c r="H914" t="s">
        <v>27</v>
      </c>
      <c r="I914" s="1" t="s">
        <v>763</v>
      </c>
      <c r="J914" s="6"/>
    </row>
    <row r="915" spans="1:10" x14ac:dyDescent="0.2">
      <c r="A915" s="1" t="s">
        <v>2713</v>
      </c>
      <c r="B915" s="6" t="s">
        <v>60</v>
      </c>
      <c r="C915" s="6" t="s">
        <v>60</v>
      </c>
      <c r="D915" s="6" t="s">
        <v>60</v>
      </c>
      <c r="E915" s="6">
        <v>0.6</v>
      </c>
      <c r="F915" s="6" t="s">
        <v>60</v>
      </c>
      <c r="G915" s="6" t="s">
        <v>2714</v>
      </c>
      <c r="H915" t="s">
        <v>27</v>
      </c>
      <c r="I915" s="1" t="s">
        <v>44</v>
      </c>
      <c r="J915" s="6"/>
    </row>
    <row r="916" spans="1:10" x14ac:dyDescent="0.2">
      <c r="A916" s="11" t="s">
        <v>2862</v>
      </c>
      <c r="B916" s="12"/>
      <c r="C916" s="12"/>
      <c r="D916" s="12"/>
      <c r="E916" s="12"/>
      <c r="F916" s="12" t="s">
        <v>2863</v>
      </c>
      <c r="G916" s="12" t="s">
        <v>2863</v>
      </c>
      <c r="H916" s="13" t="s">
        <v>2340</v>
      </c>
      <c r="I916" s="14"/>
      <c r="J916" s="15" t="s">
        <v>2868</v>
      </c>
    </row>
  </sheetData>
  <sortState ref="A3:I917">
    <sortCondition descending="1" ref="B3:B917"/>
  </sortState>
  <mergeCells count="1">
    <mergeCell ref="A1:I1"/>
  </mergeCells>
  <phoneticPr fontId="1" type="noConversion"/>
  <conditionalFormatting sqref="A906">
    <cfRule type="duplicateValues" dxfId="13" priority="2"/>
  </conditionalFormatting>
  <conditionalFormatting sqref="A2">
    <cfRule type="duplicateValues" dxfId="12" priority="1"/>
  </conditionalFormatting>
  <conditionalFormatting sqref="A3:A905 A907:A916">
    <cfRule type="duplicateValues" dxfId="11" priority="4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xkfw</dc:creator>
  <cp:lastModifiedBy>xkfw</cp:lastModifiedBy>
  <dcterms:created xsi:type="dcterms:W3CDTF">2023-11-13T07:52:42Z</dcterms:created>
  <dcterms:modified xsi:type="dcterms:W3CDTF">2023-11-17T06:01:15Z</dcterms:modified>
</cp:coreProperties>
</file>