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科服务\服务推送\期刊推送\2023推送\2023ESI期刊（带影响因子）\ESI期刊列表（带影响因子）2023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382" i="1"/>
  <c r="D416" i="1"/>
  <c r="D305" i="1"/>
  <c r="D136" i="1"/>
  <c r="D93" i="1"/>
  <c r="D54" i="1"/>
  <c r="D103" i="1"/>
  <c r="D125" i="1"/>
  <c r="D109" i="1"/>
  <c r="D13" i="1"/>
  <c r="D39" i="1"/>
  <c r="D22" i="1"/>
  <c r="D52" i="1"/>
  <c r="D56" i="1"/>
  <c r="D258" i="1"/>
  <c r="D181" i="1"/>
  <c r="D169" i="1"/>
  <c r="D212" i="1"/>
  <c r="D16" i="1"/>
  <c r="D99" i="1"/>
  <c r="D9" i="1"/>
  <c r="D175" i="1"/>
  <c r="D25" i="1"/>
  <c r="D17" i="1"/>
  <c r="D47" i="1"/>
  <c r="D8" i="1"/>
  <c r="D405" i="1"/>
  <c r="D115" i="1"/>
  <c r="D85" i="1"/>
  <c r="D61" i="1"/>
  <c r="D80" i="1"/>
  <c r="D265" i="1"/>
  <c r="D283" i="1"/>
  <c r="D235" i="1"/>
  <c r="D108" i="1"/>
  <c r="D314" i="1"/>
  <c r="D394" i="1"/>
  <c r="D51" i="1"/>
  <c r="D341" i="1"/>
  <c r="D100" i="1"/>
  <c r="D257" i="1"/>
  <c r="D70" i="1"/>
  <c r="D87" i="1"/>
  <c r="D393" i="1"/>
  <c r="D351" i="1"/>
  <c r="D107" i="1"/>
  <c r="D153" i="1"/>
  <c r="D205" i="1"/>
  <c r="D19" i="1"/>
  <c r="D60" i="1"/>
  <c r="D278" i="1"/>
  <c r="D30" i="1"/>
  <c r="D40" i="1"/>
  <c r="D89" i="1"/>
  <c r="D152" i="1"/>
  <c r="D319" i="1"/>
  <c r="D190" i="1"/>
  <c r="D296" i="1"/>
  <c r="D250" i="1"/>
  <c r="D367" i="1"/>
  <c r="D14" i="1"/>
  <c r="D142" i="1"/>
  <c r="D98" i="1"/>
  <c r="D62" i="1"/>
  <c r="D313" i="1"/>
  <c r="D106" i="1"/>
  <c r="D330" i="1"/>
  <c r="D44" i="1"/>
  <c r="D38" i="1"/>
  <c r="D381" i="1"/>
  <c r="D119" i="1"/>
  <c r="D366" i="1"/>
  <c r="D65" i="1"/>
  <c r="D163" i="1"/>
  <c r="D312" i="1"/>
  <c r="D189" i="1"/>
  <c r="D415" i="1"/>
  <c r="D234" i="1"/>
  <c r="D95" i="1"/>
  <c r="D311" i="1"/>
  <c r="D74" i="1"/>
  <c r="D64" i="1"/>
  <c r="D33" i="1"/>
  <c r="D59" i="1"/>
  <c r="D194" i="1"/>
  <c r="D78" i="1"/>
  <c r="D310" i="1"/>
  <c r="D295" i="1"/>
  <c r="D198" i="1"/>
  <c r="D69" i="1"/>
  <c r="D227" i="1"/>
  <c r="D318" i="1"/>
  <c r="D41" i="1"/>
  <c r="D150" i="1"/>
  <c r="D365" i="1"/>
  <c r="D373" i="1"/>
  <c r="D350" i="1"/>
  <c r="D29" i="1"/>
  <c r="D249" i="1"/>
  <c r="D264" i="1"/>
  <c r="D27" i="1"/>
  <c r="D15" i="1"/>
  <c r="D204" i="1"/>
  <c r="D233" i="1"/>
  <c r="D248" i="1"/>
  <c r="D168" i="1"/>
  <c r="D243" i="1"/>
  <c r="D364" i="1"/>
  <c r="D290" i="1"/>
  <c r="D188" i="1"/>
  <c r="D203" i="1"/>
  <c r="D197" i="1"/>
  <c r="D226" i="1"/>
  <c r="D329" i="1"/>
  <c r="D392" i="1"/>
  <c r="D380" i="1"/>
  <c r="D412" i="1"/>
  <c r="D263" i="1"/>
  <c r="D247" i="1"/>
  <c r="D289" i="1"/>
  <c r="D317" i="1"/>
  <c r="D349" i="1"/>
  <c r="D135" i="1"/>
  <c r="D363" i="1"/>
  <c r="D391" i="1"/>
  <c r="D325" i="1"/>
  <c r="D12" i="1"/>
  <c r="D372" i="1"/>
  <c r="D193" i="1"/>
  <c r="D145" i="1"/>
  <c r="D187" i="1"/>
  <c r="D277" i="1"/>
  <c r="D276" i="1"/>
  <c r="D67" i="1"/>
  <c r="D324" i="1"/>
  <c r="D340" i="1"/>
  <c r="D102" i="1"/>
  <c r="D246" i="1"/>
  <c r="D404" i="1"/>
  <c r="D371" i="1"/>
  <c r="D167" i="1"/>
  <c r="D232" i="1"/>
  <c r="D131" i="1"/>
  <c r="D403" i="1"/>
  <c r="D196" i="1"/>
  <c r="D414" i="1"/>
  <c r="D174" i="1"/>
  <c r="D160" i="1"/>
  <c r="D24" i="1"/>
  <c r="D275" i="1"/>
  <c r="D294" i="1"/>
  <c r="D231" i="1"/>
  <c r="D262" i="1"/>
  <c r="D256" i="1"/>
  <c r="D23" i="1"/>
  <c r="D282" i="1"/>
  <c r="D97" i="1"/>
  <c r="D242" i="1"/>
  <c r="D255" i="1"/>
  <c r="D304" i="1"/>
  <c r="D402" i="1"/>
  <c r="D173" i="1"/>
  <c r="D127" i="1"/>
  <c r="D186" i="1"/>
  <c r="D144" i="1"/>
  <c r="D328" i="1"/>
  <c r="D401" i="1"/>
  <c r="D254" i="1"/>
  <c r="D211" i="1"/>
  <c r="D139" i="1"/>
  <c r="D303" i="1"/>
  <c r="D302" i="1"/>
  <c r="D274" i="1"/>
  <c r="D273" i="1"/>
  <c r="D210" i="1"/>
  <c r="D339" i="1"/>
  <c r="D390" i="1"/>
  <c r="D288" i="1"/>
  <c r="D379" i="1"/>
  <c r="D130" i="1"/>
  <c r="D195" i="1"/>
  <c r="D166" i="1"/>
  <c r="D301" i="1"/>
  <c r="D225" i="1"/>
  <c r="D241" i="1"/>
  <c r="D348" i="1"/>
  <c r="D21" i="1"/>
  <c r="D35" i="1"/>
  <c r="D82" i="1"/>
  <c r="D92" i="1"/>
  <c r="D400" i="1"/>
  <c r="D253" i="1"/>
  <c r="D94" i="1"/>
  <c r="D224" i="1"/>
  <c r="D91" i="1"/>
  <c r="D141" i="1"/>
  <c r="D42" i="1"/>
  <c r="D219" i="1"/>
  <c r="D165" i="1"/>
  <c r="D55" i="1"/>
  <c r="D355" i="1"/>
  <c r="D300" i="1"/>
  <c r="D240" i="1"/>
  <c r="D180" i="1"/>
  <c r="D362" i="1"/>
  <c r="D218" i="1"/>
  <c r="D399" i="1"/>
  <c r="D354" i="1"/>
  <c r="D84" i="1"/>
  <c r="D129" i="1"/>
  <c r="D202" i="1"/>
  <c r="D230" i="1"/>
  <c r="D58" i="1"/>
  <c r="D201" i="1"/>
  <c r="D159" i="1"/>
  <c r="D73" i="1"/>
  <c r="D239" i="1"/>
  <c r="D361" i="1"/>
  <c r="D143" i="1"/>
  <c r="D245" i="1"/>
  <c r="D338" i="1"/>
  <c r="D158" i="1"/>
  <c r="D360" i="1"/>
  <c r="D287" i="1"/>
  <c r="D347" i="1"/>
  <c r="D105" i="1"/>
  <c r="D398" i="1"/>
  <c r="D238" i="1"/>
  <c r="D157" i="1"/>
  <c r="D411" i="1"/>
  <c r="D299" i="1"/>
  <c r="D200" i="1"/>
  <c r="D192" i="1"/>
  <c r="D209" i="1"/>
  <c r="D323" i="1"/>
  <c r="D223" i="1"/>
  <c r="D281" i="1"/>
  <c r="D309" i="1"/>
  <c r="D149" i="1"/>
  <c r="D337" i="1"/>
  <c r="D378" i="1"/>
  <c r="D122" i="1"/>
  <c r="D156" i="1"/>
  <c r="D316" i="1"/>
  <c r="D222" i="1"/>
  <c r="D407" i="1"/>
  <c r="D370" i="1"/>
  <c r="D272" i="1"/>
  <c r="D397" i="1"/>
  <c r="D185" i="1"/>
  <c r="D66" i="1"/>
  <c r="D293" i="1"/>
  <c r="D128" i="1"/>
  <c r="D162" i="1"/>
  <c r="D327" i="1"/>
  <c r="D134" i="1"/>
  <c r="D138" i="1"/>
  <c r="D81" i="1"/>
  <c r="D389" i="1"/>
  <c r="D377" i="1"/>
  <c r="D32" i="1"/>
  <c r="D207" i="1"/>
  <c r="D114" i="1"/>
  <c r="D252" i="1"/>
  <c r="D68" i="1"/>
  <c r="D298" i="1"/>
  <c r="D359" i="1"/>
  <c r="D7" i="1"/>
  <c r="D90" i="1"/>
  <c r="D172" i="1"/>
  <c r="D292" i="1"/>
  <c r="D148" i="1"/>
  <c r="D353" i="1"/>
  <c r="D346" i="1"/>
  <c r="D199" i="1"/>
  <c r="D237" i="1"/>
  <c r="D11" i="1"/>
  <c r="D46" i="1"/>
  <c r="D71" i="1"/>
  <c r="D79" i="1"/>
  <c r="D161" i="1"/>
  <c r="D57" i="1"/>
  <c r="D45" i="1"/>
  <c r="D37" i="1"/>
  <c r="D76" i="1"/>
  <c r="D336" i="1"/>
  <c r="D345" i="1"/>
  <c r="D18" i="1"/>
  <c r="D217" i="1"/>
  <c r="D297" i="1"/>
  <c r="D155" i="1"/>
  <c r="D236" i="1"/>
  <c r="D388" i="1"/>
  <c r="D410" i="1"/>
  <c r="D216" i="1"/>
  <c r="D206" i="1"/>
  <c r="D344" i="1"/>
  <c r="D358" i="1"/>
  <c r="D208" i="1"/>
  <c r="D179" i="1"/>
  <c r="D118" i="1"/>
  <c r="D215" i="1"/>
  <c r="D271" i="1"/>
  <c r="D291" i="1"/>
  <c r="D409" i="1"/>
  <c r="D171" i="1"/>
  <c r="D124" i="1"/>
  <c r="D286" i="1"/>
  <c r="D36" i="1"/>
  <c r="D20" i="1"/>
  <c r="D270" i="1"/>
  <c r="D43" i="1"/>
  <c r="D10" i="1"/>
  <c r="D137" i="1"/>
  <c r="D116" i="1"/>
  <c r="D164" i="1"/>
  <c r="D133" i="1"/>
  <c r="D178" i="1"/>
  <c r="D77" i="1"/>
  <c r="D4" i="1"/>
  <c r="D5" i="1"/>
  <c r="D3" i="1"/>
  <c r="D146" i="1"/>
  <c r="D104" i="1"/>
  <c r="D229" i="1"/>
  <c r="D335" i="1"/>
  <c r="D50" i="1"/>
  <c r="D49" i="1"/>
  <c r="D48" i="1"/>
  <c r="D28" i="1"/>
  <c r="D121" i="1"/>
  <c r="D154" i="1"/>
  <c r="D214" i="1"/>
  <c r="D396" i="1"/>
  <c r="D221" i="1"/>
  <c r="D177" i="1"/>
  <c r="D308" i="1"/>
  <c r="D307" i="1"/>
  <c r="D184" i="1"/>
  <c r="D387" i="1"/>
  <c r="D334" i="1"/>
  <c r="D322" i="1"/>
  <c r="D280" i="1"/>
  <c r="D117" i="1"/>
  <c r="D120" i="1"/>
  <c r="D269" i="1"/>
  <c r="D321" i="1"/>
  <c r="D352" i="1"/>
  <c r="D386" i="1"/>
  <c r="D244" i="1"/>
  <c r="D343" i="1"/>
  <c r="D126" i="1"/>
  <c r="D6" i="1"/>
  <c r="D132" i="1"/>
  <c r="D88" i="1"/>
  <c r="D228" i="1"/>
  <c r="D342" i="1"/>
  <c r="D406" i="1"/>
  <c r="D376" i="1"/>
  <c r="D63" i="1"/>
  <c r="D279" i="1"/>
  <c r="D395" i="1"/>
  <c r="D86" i="1"/>
  <c r="D320" i="1"/>
  <c r="D170" i="1"/>
  <c r="D369" i="1"/>
  <c r="D375" i="1"/>
  <c r="D368" i="1"/>
  <c r="D357" i="1"/>
  <c r="D413" i="1"/>
  <c r="D285" i="1"/>
  <c r="D111" i="1"/>
  <c r="D191" i="1"/>
  <c r="D72" i="1"/>
  <c r="D356" i="1"/>
  <c r="D315" i="1"/>
  <c r="D101" i="1"/>
  <c r="D420" i="1"/>
  <c r="D333" i="1"/>
  <c r="D183" i="1"/>
  <c r="D31" i="1"/>
  <c r="D34" i="1"/>
  <c r="D26" i="1"/>
  <c r="D147" i="1"/>
  <c r="D332" i="1"/>
  <c r="D182" i="1"/>
  <c r="D83" i="1"/>
  <c r="D75" i="1"/>
  <c r="D385" i="1"/>
  <c r="D261" i="1"/>
  <c r="D268" i="1"/>
  <c r="D374" i="1"/>
  <c r="D113" i="1"/>
  <c r="D419" i="1"/>
  <c r="D213" i="1"/>
  <c r="D176" i="1"/>
  <c r="D220" i="1"/>
  <c r="D96" i="1"/>
  <c r="D110" i="1"/>
  <c r="D53" i="1"/>
  <c r="D384" i="1"/>
  <c r="D383" i="1"/>
  <c r="D408" i="1"/>
  <c r="D251" i="1"/>
  <c r="D267" i="1"/>
  <c r="D140" i="1"/>
  <c r="D331" i="1"/>
  <c r="D306" i="1"/>
  <c r="D284" i="1"/>
  <c r="D151" i="1"/>
  <c r="D123" i="1"/>
  <c r="D266" i="1"/>
  <c r="D260" i="1"/>
  <c r="D418" i="1"/>
  <c r="D259" i="1"/>
  <c r="D326" i="1"/>
  <c r="D417" i="1"/>
</calcChain>
</file>

<file path=xl/sharedStrings.xml><?xml version="1.0" encoding="utf-8"?>
<sst xmlns="http://schemas.openxmlformats.org/spreadsheetml/2006/main" count="2542" uniqueCount="1323">
  <si>
    <t>JIF Rank</t>
  </si>
  <si>
    <t>立即指数</t>
  </si>
  <si>
    <t>ISSN</t>
  </si>
  <si>
    <t>eISSN</t>
  </si>
  <si>
    <t>出版来源国家/地区</t>
  </si>
  <si>
    <t>出版商（全部）</t>
  </si>
  <si>
    <t>ZKG INTERNATIONAL</t>
  </si>
  <si>
    <t>Q4</t>
  </si>
  <si>
    <t>2366-1313</t>
  </si>
  <si>
    <t>n/a</t>
  </si>
  <si>
    <t>GERMANY (FED REP GER)</t>
  </si>
  <si>
    <t>BAUVERLAG BV GMBH</t>
  </si>
  <si>
    <t>WOOD RESEARCH</t>
  </si>
  <si>
    <t>Q3</t>
  </si>
  <si>
    <t>1336-4561</t>
  </si>
  <si>
    <t>SLOVAKIA</t>
  </si>
  <si>
    <t>SLOVAK FOREST PRODUCTS RESEARCH INST</t>
  </si>
  <si>
    <t>WOOD MATERIAL SCIENCE &amp; ENGINEERING</t>
  </si>
  <si>
    <t>Q2</t>
  </si>
  <si>
    <t>1748-0272</t>
  </si>
  <si>
    <t>1748-0280</t>
  </si>
  <si>
    <t>ENGLAND</t>
  </si>
  <si>
    <t>TAYLOR &amp; FRANCIS LTD</t>
  </si>
  <si>
    <t>WOCHENBLATT FUR PAPIERFABRIKATION</t>
  </si>
  <si>
    <t>0043-7131</t>
  </si>
  <si>
    <t>DEUTSCHER FACHVERLAG GMBH</t>
  </si>
  <si>
    <t>WELDING JOURNAL</t>
  </si>
  <si>
    <t>0043-2296</t>
  </si>
  <si>
    <t>USA</t>
  </si>
  <si>
    <t>AMER WELDING SOC</t>
  </si>
  <si>
    <t>WELDING IN THE WORLD</t>
  </si>
  <si>
    <t>0043-2288</t>
  </si>
  <si>
    <t>1878-6669</t>
  </si>
  <si>
    <t>FRANCE</t>
  </si>
  <si>
    <t>SPRINGER HEIDELBERG</t>
  </si>
  <si>
    <t>WEAR</t>
  </si>
  <si>
    <t>Q1</t>
  </si>
  <si>
    <t>0043-1648</t>
  </si>
  <si>
    <t>1873-2577</t>
  </si>
  <si>
    <t>SWITZERLAND</t>
  </si>
  <si>
    <t>ELSEVIER SCIENCE SA</t>
  </si>
  <si>
    <t>VACUUM</t>
  </si>
  <si>
    <t>0042-207X</t>
  </si>
  <si>
    <t>1879-2715</t>
  </si>
  <si>
    <t>PERGAMON-ELSEVIER SCIENCE LTD</t>
  </si>
  <si>
    <t>TRANSACTIONS OF THE INSTITUTE OF METAL FINISHING</t>
  </si>
  <si>
    <t>0020-2967</t>
  </si>
  <si>
    <t>1745-9192</t>
  </si>
  <si>
    <t>TRANSACTIONS OF THE INDIAN INSTITUTE OF METALS</t>
  </si>
  <si>
    <t>0972-2815</t>
  </si>
  <si>
    <t>0975-1645</t>
  </si>
  <si>
    <t>INDIA</t>
  </si>
  <si>
    <t>SPRINGER INDIA</t>
  </si>
  <si>
    <t>TRANSACTIONS OF THE INDIAN CERAMIC SOCIETY</t>
  </si>
  <si>
    <t>0371-750X</t>
  </si>
  <si>
    <t>2165-5456</t>
  </si>
  <si>
    <t>TRANSACTIONS OF NONFERROUS METALS SOCIETY OF CHINA</t>
  </si>
  <si>
    <t>1003-6326</t>
  </si>
  <si>
    <t>2210-3384</t>
  </si>
  <si>
    <t>CHINA MAINLAND</t>
  </si>
  <si>
    <t>ELSEVIER</t>
  </si>
  <si>
    <t>THIN SOLID FILMS</t>
  </si>
  <si>
    <t>0040-6090</t>
  </si>
  <si>
    <t>1879-2731</t>
  </si>
  <si>
    <t>NETHERLANDS</t>
  </si>
  <si>
    <t>TEXTILE RESEARCH JOURNAL</t>
  </si>
  <si>
    <t>0040-5175</t>
  </si>
  <si>
    <t>1746-7748</t>
  </si>
  <si>
    <t>SAGE PUBLICATIONS LTD</t>
  </si>
  <si>
    <t>TETSU TO HAGANE-JOURNAL OF THE IRON AND STEEL INSTITUTE OF JAPAN</t>
  </si>
  <si>
    <t>0021-1575</t>
  </si>
  <si>
    <t>1883-2954</t>
  </si>
  <si>
    <t>JAPAN</t>
  </si>
  <si>
    <t>IRON STEEL INST JAPAN KEIDANREN KAIKAN</t>
  </si>
  <si>
    <t>TEKSTIL VE KONFEKSIYON</t>
  </si>
  <si>
    <t>1300-3356</t>
  </si>
  <si>
    <t>TURKIYE</t>
  </si>
  <si>
    <t>E.U. Printing and Publishing House</t>
  </si>
  <si>
    <t>TAPPI JOURNAL</t>
  </si>
  <si>
    <t>0734-1415</t>
  </si>
  <si>
    <t>TECH ASSOC PULP PAPER IND INC</t>
  </si>
  <si>
    <t>SUSTAINABLE MATERIALS AND TECHNOLOGIES</t>
  </si>
  <si>
    <t>2214-9937</t>
  </si>
  <si>
    <t>SUSTAINABLE ENERGY &amp; FUELS</t>
  </si>
  <si>
    <t>2398-4902</t>
  </si>
  <si>
    <t>ROYAL SOC CHEMISTRY</t>
  </si>
  <si>
    <t>SURFACES AND INTERFACES</t>
  </si>
  <si>
    <t>2468-0230</t>
  </si>
  <si>
    <t>SURFACE TOPOGRAPHY-METROLOGY AND PROPERTIES</t>
  </si>
  <si>
    <t>2051-672X</t>
  </si>
  <si>
    <t>IOP Publishing Ltd</t>
  </si>
  <si>
    <t>SURFACE INNOVATIONS</t>
  </si>
  <si>
    <t>2050-6252</t>
  </si>
  <si>
    <t>2050-6260</t>
  </si>
  <si>
    <t>EMERALD GROUP PUBLISHING LTD</t>
  </si>
  <si>
    <t>SURFACE ENGINEERING</t>
  </si>
  <si>
    <t>0267-0844</t>
  </si>
  <si>
    <t>1743-2944</t>
  </si>
  <si>
    <t>SURFACE COATINGS INTERNATIONAL</t>
  </si>
  <si>
    <t>1754-0925</t>
  </si>
  <si>
    <t>OIL &amp; COLOUR CHEMISTS ASSOC</t>
  </si>
  <si>
    <t>SURFACE &amp; COATINGS TECHNOLOGY</t>
  </si>
  <si>
    <t>0257-8972</t>
  </si>
  <si>
    <t>1879-3347</t>
  </si>
  <si>
    <t>STRENGTH OF MATERIALS</t>
  </si>
  <si>
    <t>0039-2316</t>
  </si>
  <si>
    <t>1573-9325</t>
  </si>
  <si>
    <t>UKRAINE</t>
  </si>
  <si>
    <t>SPRINGER</t>
  </si>
  <si>
    <t>STRAIN</t>
  </si>
  <si>
    <t>0039-2103</t>
  </si>
  <si>
    <t>1475-1305</t>
  </si>
  <si>
    <t>WILEY</t>
  </si>
  <si>
    <t>STEEL RESEARCH INTERNATIONAL</t>
  </si>
  <si>
    <t>1611-3683</t>
  </si>
  <si>
    <t>1869-344X</t>
  </si>
  <si>
    <t>WILEY-V C H VERLAG GMBH</t>
  </si>
  <si>
    <t>SOLDAGEM &amp; INSPECAO</t>
  </si>
  <si>
    <t>0104-9224</t>
  </si>
  <si>
    <t>1980-6973</t>
  </si>
  <si>
    <t>BRAZIL</t>
  </si>
  <si>
    <t>ASSOC BRASIL SOLDAGEM</t>
  </si>
  <si>
    <t>SOLAR RRL</t>
  </si>
  <si>
    <t>2367-198X</t>
  </si>
  <si>
    <t>SOLAR ENERGY MATERIALS AND SOLAR CELLS</t>
  </si>
  <si>
    <t>0927-0248</t>
  </si>
  <si>
    <t>1879-3398</t>
  </si>
  <si>
    <t>SOFT MATTER</t>
  </si>
  <si>
    <t>1744-683X</t>
  </si>
  <si>
    <t>1744-6848</t>
  </si>
  <si>
    <t>SOFT MATERIALS</t>
  </si>
  <si>
    <t>1539-445X</t>
  </si>
  <si>
    <t>1539-4468</t>
  </si>
  <si>
    <t>TAYLOR &amp; FRANCIS INC</t>
  </si>
  <si>
    <t>SMART MATERIALS AND STRUCTURES</t>
  </si>
  <si>
    <t>0964-1726</t>
  </si>
  <si>
    <t>1361-665X</t>
  </si>
  <si>
    <t>SMALL STRUCTURES</t>
  </si>
  <si>
    <t>2688-4062</t>
  </si>
  <si>
    <t>SMALL METHODS</t>
  </si>
  <si>
    <t>2366-9608</t>
  </si>
  <si>
    <t>SMALL</t>
  </si>
  <si>
    <t>1613-6810</t>
  </si>
  <si>
    <t>1613-6829</t>
  </si>
  <si>
    <t>SILICON</t>
  </si>
  <si>
    <t>1876-990X</t>
  </si>
  <si>
    <t>1876-9918</t>
  </si>
  <si>
    <t>SENSORS AND MATERIALS</t>
  </si>
  <si>
    <t>0914-4935</t>
  </si>
  <si>
    <t>MYU, SCIENTIFIC PUBLISHING DIVISION</t>
  </si>
  <si>
    <t>SEN-I GAKKAISHI</t>
  </si>
  <si>
    <t>0037-9875</t>
  </si>
  <si>
    <t>SOC FIBER SCIENCE TECHNOLOGY</t>
  </si>
  <si>
    <t>SCRIPTA MATERIALIA</t>
  </si>
  <si>
    <t>1359-6462</t>
  </si>
  <si>
    <t>1872-8456</t>
  </si>
  <si>
    <t>SCIENCE OF SINTERING</t>
  </si>
  <si>
    <t>0350-820X</t>
  </si>
  <si>
    <t>SERBIA</t>
  </si>
  <si>
    <t>INT INST SCIENCE SINTERING (I I S S)</t>
  </si>
  <si>
    <t>SCIENCE OF ADVANCED MATERIALS</t>
  </si>
  <si>
    <t>1947-2935</t>
  </si>
  <si>
    <t>1947-2943</t>
  </si>
  <si>
    <t>AMER SCIENTIFIC PUBLISHERS</t>
  </si>
  <si>
    <t>SCIENCE CHINA-MATERIALS</t>
  </si>
  <si>
    <t>2095-8226</t>
  </si>
  <si>
    <t>2199-4501</t>
  </si>
  <si>
    <t>SCIENCE PRESS</t>
  </si>
  <si>
    <t>SCIENCE AND TECHNOLOGY OF WELDING AND JOINING</t>
  </si>
  <si>
    <t>1362-1718</t>
  </si>
  <si>
    <t>1743-2936</t>
  </si>
  <si>
    <t>SCIENCE AND TECHNOLOGY OF ADVANCED MATERIALS</t>
  </si>
  <si>
    <t>1468-6996</t>
  </si>
  <si>
    <t>1878-5514</t>
  </si>
  <si>
    <t>SCIENCE AND ENGINEERING OF COMPOSITE MATERIALS</t>
  </si>
  <si>
    <t>0792-1233</t>
  </si>
  <si>
    <t>2191-0359</t>
  </si>
  <si>
    <t>DE GRUYTER POLAND SP Z O O</t>
  </si>
  <si>
    <t>SAMPE JOURNAL</t>
  </si>
  <si>
    <t>0091-1062</t>
  </si>
  <si>
    <t>SAMPE PUBLISHERS</t>
  </si>
  <si>
    <t>RUSSIAN JOURNAL OF NONDESTRUCTIVE TESTING</t>
  </si>
  <si>
    <t>1061-8309</t>
  </si>
  <si>
    <t>1608-3385</t>
  </si>
  <si>
    <t>RUSSIA</t>
  </si>
  <si>
    <t>PLEIADES PUBLISHING INC</t>
  </si>
  <si>
    <t>RUSSIAN JOURNAL OF NON-FERROUS METALS</t>
  </si>
  <si>
    <t>1067-8212</t>
  </si>
  <si>
    <t>1934-970X</t>
  </si>
  <si>
    <t>REVISTA ROMANA DE MATERIALE-ROMANIAN JOURNAL OF MATERIALS</t>
  </si>
  <si>
    <t>1583-3186</t>
  </si>
  <si>
    <t>ROMANIA</t>
  </si>
  <si>
    <t>SERBAN SOLACOLU FOUNDATION</t>
  </si>
  <si>
    <t>REVISTA DE METALURGIA</t>
  </si>
  <si>
    <t>0034-8570</t>
  </si>
  <si>
    <t>1988-4222</t>
  </si>
  <si>
    <t>SPAIN</t>
  </si>
  <si>
    <t>CONSEJO SUPERIOR INVESTIGACIONES CIENTIFICAS-CSIC</t>
  </si>
  <si>
    <t>REVIEWS ON ADVANCED MATERIALS SCIENCE</t>
  </si>
  <si>
    <t>1606-5131</t>
  </si>
  <si>
    <t>1605-8127</t>
  </si>
  <si>
    <t>POLAND</t>
  </si>
  <si>
    <t>RESEARCH IN NONDESTRUCTIVE EVALUATION</t>
  </si>
  <si>
    <t>0934-9847</t>
  </si>
  <si>
    <t>1432-2110</t>
  </si>
  <si>
    <t>REGENERATIVE BIOMATERIALS</t>
  </si>
  <si>
    <t>2056-3418</t>
  </si>
  <si>
    <t>2056-3426</t>
  </si>
  <si>
    <t>OXFORD UNIV PRESS</t>
  </si>
  <si>
    <t>REFRACTORIES AND INDUSTRIAL CERAMICS</t>
  </si>
  <si>
    <t>1083-4877</t>
  </si>
  <si>
    <t>1573-9139</t>
  </si>
  <si>
    <t>RECENT PATENTS ON NANOTECHNOLOGY</t>
  </si>
  <si>
    <t>1872-2105</t>
  </si>
  <si>
    <t>2212-4020</t>
  </si>
  <si>
    <t>UNITED ARAB EMIRATES</t>
  </si>
  <si>
    <t>BENTHAM SCIENCE PUBL LTD</t>
  </si>
  <si>
    <t>RARE METALS</t>
  </si>
  <si>
    <t>1001-0521</t>
  </si>
  <si>
    <t>1867-7185</t>
  </si>
  <si>
    <t>NONFERROUS METALS SOC CHINA</t>
  </si>
  <si>
    <t>RARE METAL MATERIALS AND ENGINEERING</t>
  </si>
  <si>
    <t>1875-5372</t>
  </si>
  <si>
    <t>NORTHWEST INST NONFERROUS METAL RESEARCH</t>
  </si>
  <si>
    <t>PULP &amp; PAPER-CANADA</t>
  </si>
  <si>
    <t>0316-4004</t>
  </si>
  <si>
    <t>1923-3515</t>
  </si>
  <si>
    <t>CANADA</t>
  </si>
  <si>
    <t>PULP &amp; PAPER CANADA MAGAZINE GROUP-BIG MAGAZINE LP</t>
  </si>
  <si>
    <t>PROTECTION OF METALS AND PHYSICAL CHEMISTRY OF SURFACES</t>
  </si>
  <si>
    <t>2070-2051</t>
  </si>
  <si>
    <t>2070-206X</t>
  </si>
  <si>
    <t>MAIK NAUKA/INTERPERIODICA/SPRINGER</t>
  </si>
  <si>
    <t>PROGRESS IN RUBBER PLASTICS AND RECYCLING TECHNOLOGY</t>
  </si>
  <si>
    <t>1477-7606</t>
  </si>
  <si>
    <t>1478-2413</t>
  </si>
  <si>
    <t>PROGRESS IN ORGANIC COATINGS</t>
  </si>
  <si>
    <t>0300-9440</t>
  </si>
  <si>
    <t>1873-331X</t>
  </si>
  <si>
    <t>PROGRESS IN NATURAL SCIENCE-MATERIALS INTERNATIONAL</t>
  </si>
  <si>
    <t>1002-0071</t>
  </si>
  <si>
    <t>1745-5391</t>
  </si>
  <si>
    <t>ELSEVIER SCIENCE INC</t>
  </si>
  <si>
    <t>PROGRESS IN MATERIALS SCIENCE</t>
  </si>
  <si>
    <t>0079-6425</t>
  </si>
  <si>
    <t>1873-2208</t>
  </si>
  <si>
    <t>PROGRESS IN BIOMATERIALS</t>
  </si>
  <si>
    <t>2194-0509</t>
  </si>
  <si>
    <t>2194-0517</t>
  </si>
  <si>
    <t>PROCESSING AND APPLICATION OF CERAMICS</t>
  </si>
  <si>
    <t>1820-6131</t>
  </si>
  <si>
    <t>2406-1034</t>
  </si>
  <si>
    <t>UNIV NOVI SAD, FAC TECHNOLOGY</t>
  </si>
  <si>
    <t>PROCEEDINGS OF THE INSTITUTION OF MECHANICAL ENGINEERS PART L-JOURNAL OF MATERIALS-DESIGN AND APPLICATIONS</t>
  </si>
  <si>
    <t>1464-4207</t>
  </si>
  <si>
    <t>2041-3076</t>
  </si>
  <si>
    <t>PRAKTISCHE METALLOGRAPHIE-PRACTICAL METALLOGRAPHY</t>
  </si>
  <si>
    <t>0032-678X</t>
  </si>
  <si>
    <t>2195-8599</t>
  </si>
  <si>
    <t>WALTER DE GRUYTER GMBH</t>
  </si>
  <si>
    <t>POWDER METALLURGY AND METAL CERAMICS</t>
  </si>
  <si>
    <t>1068-1302</t>
  </si>
  <si>
    <t>1573-9066</t>
  </si>
  <si>
    <t>POWDER METALLURGY</t>
  </si>
  <si>
    <t>0032-5899</t>
  </si>
  <si>
    <t>1743-2901</t>
  </si>
  <si>
    <t>POLYMERS &amp; POLYMER COMPOSITES</t>
  </si>
  <si>
    <t>0967-3911</t>
  </si>
  <si>
    <t>1478-2391</t>
  </si>
  <si>
    <t>POLYMER TESTING</t>
  </si>
  <si>
    <t>0142-9418</t>
  </si>
  <si>
    <t>1873-2348</t>
  </si>
  <si>
    <t>ELSEVIER SCI LTD</t>
  </si>
  <si>
    <t>POLYMER COMPOSITES</t>
  </si>
  <si>
    <t>0272-8397</t>
  </si>
  <si>
    <t>1548-0569</t>
  </si>
  <si>
    <t>PLASTICS RUBBER AND COMPOSITES</t>
  </si>
  <si>
    <t>1465-8011</t>
  </si>
  <si>
    <t>1743-2898</t>
  </si>
  <si>
    <t>PIGMENT &amp; RESIN TECHNOLOGY</t>
  </si>
  <si>
    <t>0369-9420</t>
  </si>
  <si>
    <t>1758-6941</t>
  </si>
  <si>
    <t>PHYSICS OF METALS AND METALLOGRAPHY</t>
  </si>
  <si>
    <t>0031-918X</t>
  </si>
  <si>
    <t>1555-6190</t>
  </si>
  <si>
    <t>PHYSICS AND CHEMISTRY OF GLASSES-EUROPEAN JOURNAL OF GLASS SCIENCE AND TECHNOLOGY PART B</t>
  </si>
  <si>
    <t>1753-3562</t>
  </si>
  <si>
    <t>SOC GLASS TECHNOLOGY</t>
  </si>
  <si>
    <t>PHYSICAL REVIEW MATERIALS</t>
  </si>
  <si>
    <t>2475-9953</t>
  </si>
  <si>
    <t>AMER PHYSICAL SOC</t>
  </si>
  <si>
    <t>PHYSICAL MESOMECHANICS</t>
  </si>
  <si>
    <t>1029-9599</t>
  </si>
  <si>
    <t>1990-5424</t>
  </si>
  <si>
    <t>PHILOSOPHICAL MAGAZINE</t>
  </si>
  <si>
    <t>1478-6435</t>
  </si>
  <si>
    <t>1478-6443</t>
  </si>
  <si>
    <t>PARTICUOLOGY</t>
  </si>
  <si>
    <t>1674-2001</t>
  </si>
  <si>
    <t>2210-4291</t>
  </si>
  <si>
    <t>PARTICLE &amp; PARTICLE SYSTEMS CHARACTERIZATION</t>
  </si>
  <si>
    <t>0934-0866</t>
  </si>
  <si>
    <t>1521-4117</t>
  </si>
  <si>
    <t>OPTOELECTRONICS AND ADVANCED MATERIALS-RAPID COMMUNICATIONS</t>
  </si>
  <si>
    <t>1842-6573</t>
  </si>
  <si>
    <t>2065-3824</t>
  </si>
  <si>
    <t>NATL INST OPTOELECTRONICS</t>
  </si>
  <si>
    <t>OPTICAL MATERIALS EXPRESS</t>
  </si>
  <si>
    <t>2159-3930</t>
  </si>
  <si>
    <t>Optica Publishing Group</t>
  </si>
  <si>
    <t>OPTICAL MATERIALS</t>
  </si>
  <si>
    <t>0925-3467</t>
  </si>
  <si>
    <t>1873-1252</t>
  </si>
  <si>
    <t>NPJ MATERIALS DEGRADATION</t>
  </si>
  <si>
    <t>2397-2106</t>
  </si>
  <si>
    <t>NATURE PORTFOLIO</t>
  </si>
  <si>
    <t>NPJ FLEXIBLE ELECTRONICS</t>
  </si>
  <si>
    <t>2397-4621</t>
  </si>
  <si>
    <t>NPJ COMPUTATIONAL MATERIALS</t>
  </si>
  <si>
    <t>2057-3960</t>
  </si>
  <si>
    <t>NPJ 2D MATERIALS AND APPLICATIONS</t>
  </si>
  <si>
    <t>2397-7132</t>
  </si>
  <si>
    <t>NPG ASIA MATERIALS</t>
  </si>
  <si>
    <t>1884-4049</t>
  </si>
  <si>
    <t>1884-4057</t>
  </si>
  <si>
    <t>NORDIC PULP &amp; PAPER RESEARCH JOURNAL</t>
  </si>
  <si>
    <t>0283-2631</t>
  </si>
  <si>
    <t>2000-0669</t>
  </si>
  <si>
    <t>NONDESTRUCTIVE TESTING AND EVALUATION</t>
  </si>
  <si>
    <t>1058-9759</t>
  </si>
  <si>
    <t>1477-2671</t>
  </si>
  <si>
    <t>NEW CARBON MATERIALS</t>
  </si>
  <si>
    <t>2097-1605</t>
  </si>
  <si>
    <t>1872-5805</t>
  </si>
  <si>
    <t>NDT &amp; E INTERNATIONAL</t>
  </si>
  <si>
    <t>0963-8695</t>
  </si>
  <si>
    <t>1879-1174</t>
  </si>
  <si>
    <t>NATURE REVIEWS MATERIALS</t>
  </si>
  <si>
    <t>2058-8437</t>
  </si>
  <si>
    <t>NATURE NANOTECHNOLOGY</t>
  </si>
  <si>
    <t>1748-3387</t>
  </si>
  <si>
    <t>1748-3395</t>
  </si>
  <si>
    <t>NATURE MATERIALS</t>
  </si>
  <si>
    <t>1476-1122</t>
  </si>
  <si>
    <t>1476-4660</t>
  </si>
  <si>
    <t>NANOTECHNOLOGY REVIEWS</t>
  </si>
  <si>
    <t>2191-9089</t>
  </si>
  <si>
    <t>2191-9097</t>
  </si>
  <si>
    <t>NANOTECHNOLOGY</t>
  </si>
  <si>
    <t>0957-4484</t>
  </si>
  <si>
    <t>1361-6528</t>
  </si>
  <si>
    <t>NANOSCALE ADVANCES</t>
  </si>
  <si>
    <t>2516-0230</t>
  </si>
  <si>
    <t>NANOMATERIALS AND NANOTECHNOLOGY</t>
  </si>
  <si>
    <t>1847-9804</t>
  </si>
  <si>
    <t>HINDAWI LTD</t>
  </si>
  <si>
    <t>NANOMATERIALS</t>
  </si>
  <si>
    <t>2079-4991</t>
  </si>
  <si>
    <t>MDPI</t>
  </si>
  <si>
    <t>NANOCOMPOSITES</t>
  </si>
  <si>
    <t>2055-0324</t>
  </si>
  <si>
    <t>2055-0332</t>
  </si>
  <si>
    <t>NANO-MICRO LETTERS</t>
  </si>
  <si>
    <t>2311-6706</t>
  </si>
  <si>
    <t>2150-5551</t>
  </si>
  <si>
    <t>SHANGHAI JIAO TONG UNIV PRESS</t>
  </si>
  <si>
    <t>NANO LETTERS</t>
  </si>
  <si>
    <t>1530-6984</t>
  </si>
  <si>
    <t>1530-6992</t>
  </si>
  <si>
    <t>AMER CHEMICAL SOC</t>
  </si>
  <si>
    <t>NANO FUTURES</t>
  </si>
  <si>
    <t>2399-1984</t>
  </si>
  <si>
    <t>NANO ENERGY</t>
  </si>
  <si>
    <t>2211-2855</t>
  </si>
  <si>
    <t>2211-3282</t>
  </si>
  <si>
    <t>NANO CONVERGENCE</t>
  </si>
  <si>
    <t>2196-5404</t>
  </si>
  <si>
    <t>MRS COMMUNICATIONS</t>
  </si>
  <si>
    <t>2159-6859</t>
  </si>
  <si>
    <t>2159-6867</t>
  </si>
  <si>
    <t>MRS BULLETIN</t>
  </si>
  <si>
    <t>0883-7694</t>
  </si>
  <si>
    <t>1938-1425</t>
  </si>
  <si>
    <t>MOLECULAR SYSTEMS DESIGN &amp; ENGINEERING</t>
  </si>
  <si>
    <t>2058-9689</t>
  </si>
  <si>
    <t>MOKUZAI GAKKAISHI</t>
  </si>
  <si>
    <t>0021-4795</t>
  </si>
  <si>
    <t>1880-7577</t>
  </si>
  <si>
    <t>JAPAN WOOD RES SOC</t>
  </si>
  <si>
    <t>MODELLING AND SIMULATION IN MATERIALS SCIENCE AND ENGINEERING</t>
  </si>
  <si>
    <t>0965-0393</t>
  </si>
  <si>
    <t>1361-651X</t>
  </si>
  <si>
    <t>MICROSYSTEM TECHNOLOGIES-MICRO-AND NANOSYSTEMS-INFORMATION STORAGE AND PROCESSING SYSTEMS</t>
  </si>
  <si>
    <t>0946-7076</t>
  </si>
  <si>
    <t>1432-1858</t>
  </si>
  <si>
    <t>MICROSCOPY AND MICROANALYSIS</t>
  </si>
  <si>
    <t>1431-9276</t>
  </si>
  <si>
    <t>1435-8115</t>
  </si>
  <si>
    <t>MICROPOROUS AND MESOPOROUS MATERIALS</t>
  </si>
  <si>
    <t>1387-1811</t>
  </si>
  <si>
    <t>1873-3093</t>
  </si>
  <si>
    <t>METALS AND MATERIALS INTERNATIONAL</t>
  </si>
  <si>
    <t>1598-9623</t>
  </si>
  <si>
    <t>2005-4149</t>
  </si>
  <si>
    <t>SOUTH KOREA</t>
  </si>
  <si>
    <t>KOREAN INST METALS MATERIALS</t>
  </si>
  <si>
    <t>METALS</t>
  </si>
  <si>
    <t>2075-4701</t>
  </si>
  <si>
    <t>METALLURGIST</t>
  </si>
  <si>
    <t>0026-0894</t>
  </si>
  <si>
    <t>1573-8892</t>
  </si>
  <si>
    <t>METALLURGICAL RESEARCH &amp; TECHNOLOGY</t>
  </si>
  <si>
    <t>2271-3646</t>
  </si>
  <si>
    <t>2271-3654</t>
  </si>
  <si>
    <t>EDP SCIENCES S A</t>
  </si>
  <si>
    <t>METALLURGICAL AND MATERIALS TRANSACTIONS B-PROCESS METALLURGY AND MATERIALS PROCESSING SCIENCE</t>
  </si>
  <si>
    <t>1073-5615</t>
  </si>
  <si>
    <t>1543-1916</t>
  </si>
  <si>
    <t>METALLURGICAL AND MATERIALS TRANSACTIONS A-PHYSICAL METALLURGY AND MATERIALS SCIENCE</t>
  </si>
  <si>
    <t>1073-5623</t>
  </si>
  <si>
    <t>1543-1940</t>
  </si>
  <si>
    <t>METALLURGIA ITALIANA</t>
  </si>
  <si>
    <t>0026-0843</t>
  </si>
  <si>
    <t>ITALY</t>
  </si>
  <si>
    <t>ASSOC ITALIANA METALLURGIA</t>
  </si>
  <si>
    <t>METAL SCIENCE AND HEAT TREATMENT</t>
  </si>
  <si>
    <t>0026-0673</t>
  </si>
  <si>
    <t>1573-8973</t>
  </si>
  <si>
    <t>MECHANICS OF TIME-DEPENDENT MATERIALS</t>
  </si>
  <si>
    <t>1385-2000</t>
  </si>
  <si>
    <t>1573-2738</t>
  </si>
  <si>
    <t>MECHANICS OF MATERIALS</t>
  </si>
  <si>
    <t>0167-6636</t>
  </si>
  <si>
    <t>1872-7743</t>
  </si>
  <si>
    <t>MECHANICS OF COMPOSITE MATERIALS</t>
  </si>
  <si>
    <t>0191-5665</t>
  </si>
  <si>
    <t>1573-8922</t>
  </si>
  <si>
    <t>MECHANICS OF ADVANCED MATERIALS AND STRUCTURES</t>
  </si>
  <si>
    <t>1537-6494</t>
  </si>
  <si>
    <t>1537-6532</t>
  </si>
  <si>
    <t>MATTER</t>
  </si>
  <si>
    <t>2590-2393</t>
  </si>
  <si>
    <t>2590-2385</t>
  </si>
  <si>
    <t>CELL PRESS</t>
  </si>
  <si>
    <t>MATERIALWISSENSCHAFT UND WERKSTOFFTECHNIK</t>
  </si>
  <si>
    <t>0933-5137</t>
  </si>
  <si>
    <t>1521-4052</t>
  </si>
  <si>
    <t>MATERIALS TRANSACTIONS</t>
  </si>
  <si>
    <t>1345-9678</t>
  </si>
  <si>
    <t>1347-5320</t>
  </si>
  <si>
    <t>JAPAN INST METALS &amp; MATERIALS</t>
  </si>
  <si>
    <t>MATERIALS TODAY SUSTAINABILITY</t>
  </si>
  <si>
    <t>2589-2347</t>
  </si>
  <si>
    <t>MATERIALS TODAY PHYSICS</t>
  </si>
  <si>
    <t>2542-5293</t>
  </si>
  <si>
    <t>MATERIALS TODAY NANO</t>
  </si>
  <si>
    <t>2588-8420</t>
  </si>
  <si>
    <t>MATERIALS TODAY ENERGY</t>
  </si>
  <si>
    <t>2468-6069</t>
  </si>
  <si>
    <t>MATERIALS TODAY COMMUNICATIONS</t>
  </si>
  <si>
    <t>2352-4928</t>
  </si>
  <si>
    <t>MATERIALS TODAY CHEMISTRY</t>
  </si>
  <si>
    <t>2468-5194</t>
  </si>
  <si>
    <t>MATERIALS TODAY BIO</t>
  </si>
  <si>
    <t>2590-0064</t>
  </si>
  <si>
    <t>MATERIALS TODAY ADVANCES</t>
  </si>
  <si>
    <t>2590-0498</t>
  </si>
  <si>
    <t>MATERIALS TODAY</t>
  </si>
  <si>
    <t>1369-7021</t>
  </si>
  <si>
    <t>1873-4103</t>
  </si>
  <si>
    <t>MATERIALS TESTING</t>
  </si>
  <si>
    <t>0025-5300</t>
  </si>
  <si>
    <t>2195-8572</t>
  </si>
  <si>
    <t>MATERIALS TECHNOLOGY</t>
  </si>
  <si>
    <t>1066-7857</t>
  </si>
  <si>
    <t>1753-5557</t>
  </si>
  <si>
    <t>MATERIALS SCIENCE-POLAND</t>
  </si>
  <si>
    <t>2083-134X</t>
  </si>
  <si>
    <t>SCIENDO</t>
  </si>
  <si>
    <t>MATERIALS SCIENCE-MEDZIAGOTYRA</t>
  </si>
  <si>
    <t>1392-1320</t>
  </si>
  <si>
    <t>2029-7289</t>
  </si>
  <si>
    <t>LITHUANIA</t>
  </si>
  <si>
    <t>KAUNAS UNIV TECH</t>
  </si>
  <si>
    <t>MATERIALS SCIENCE IN SEMICONDUCTOR PROCESSING</t>
  </si>
  <si>
    <t>1369-8001</t>
  </si>
  <si>
    <t>1873-4081</t>
  </si>
  <si>
    <t>MATERIALS SCIENCE AND TECHNOLOGY</t>
  </si>
  <si>
    <t>0267-0836</t>
  </si>
  <si>
    <t>1743-2847</t>
  </si>
  <si>
    <t>MATERIALS SCIENCE AND ENGINEERING B-ADVANCED FUNCTIONAL SOLID-STATE MATERIALS</t>
  </si>
  <si>
    <t>0921-5107</t>
  </si>
  <si>
    <t>1873-4944</t>
  </si>
  <si>
    <t>MATERIALS SCIENCE AND ENGINEERING A-STRUCTURAL MATERIALS PROPERTIES MICROSTRUCTURE AND PROCESSING</t>
  </si>
  <si>
    <t>0921-5093</t>
  </si>
  <si>
    <t>1873-4936</t>
  </si>
  <si>
    <t>MATERIALS SCIENCE &amp; ENGINEERING R-REPORTS</t>
  </si>
  <si>
    <t>0927-796X</t>
  </si>
  <si>
    <t>1879-212X</t>
  </si>
  <si>
    <t>MATERIALS SCIENCE</t>
  </si>
  <si>
    <t>1068-820X</t>
  </si>
  <si>
    <t>1573-885X</t>
  </si>
  <si>
    <t>MATERIALS RESEARCH-IBERO-AMERICAN JOURNAL OF MATERIALS</t>
  </si>
  <si>
    <t>1516-1439</t>
  </si>
  <si>
    <t>1980-5373</t>
  </si>
  <si>
    <t>UNIV FED SAO CARLOS, DEPT ENGENHARIA MATERIALS</t>
  </si>
  <si>
    <t>MATERIALS RESEARCH LETTERS</t>
  </si>
  <si>
    <t>2166-3831</t>
  </si>
  <si>
    <t>MATERIALS RESEARCH EXPRESS</t>
  </si>
  <si>
    <t>2053-1591</t>
  </si>
  <si>
    <t>MATERIALS RESEARCH BULLETIN</t>
  </si>
  <si>
    <t>0025-5408</t>
  </si>
  <si>
    <t>1873-4227</t>
  </si>
  <si>
    <t>MATERIALS LETTERS</t>
  </si>
  <si>
    <t>0167-577X</t>
  </si>
  <si>
    <t>1873-4979</t>
  </si>
  <si>
    <t>MATERIALS HORIZONS</t>
  </si>
  <si>
    <t>2051-6347</t>
  </si>
  <si>
    <t>2051-6355</t>
  </si>
  <si>
    <t>MATERIALS EXPRESS</t>
  </si>
  <si>
    <t>2158-5849</t>
  </si>
  <si>
    <t>2158-5857</t>
  </si>
  <si>
    <t>MATERIALS EVALUATION</t>
  </si>
  <si>
    <t>0025-5327</t>
  </si>
  <si>
    <t>AMER SOC NONDESTRUCTIVE TEST</t>
  </si>
  <si>
    <t>MATERIALS CHEMISTRY FRONTIERS</t>
  </si>
  <si>
    <t>2052-1537</t>
  </si>
  <si>
    <t>MATERIALS CHEMISTRY AND PHYSICS</t>
  </si>
  <si>
    <t>0254-0584</t>
  </si>
  <si>
    <t>1879-3312</t>
  </si>
  <si>
    <t>MATERIALS CHARACTERIZATION</t>
  </si>
  <si>
    <t>1044-5803</t>
  </si>
  <si>
    <t>1873-4189</t>
  </si>
  <si>
    <t>MATERIALS AT HIGH TEMPERATURES</t>
  </si>
  <si>
    <t>0960-3409</t>
  </si>
  <si>
    <t>1878-6413</t>
  </si>
  <si>
    <t>MATERIALS AND STRUCTURES</t>
  </si>
  <si>
    <t>1359-5997</t>
  </si>
  <si>
    <t>1871-6873</t>
  </si>
  <si>
    <t>MATERIALS AND MANUFACTURING PROCESSES</t>
  </si>
  <si>
    <t>1042-6914</t>
  </si>
  <si>
    <t>1532-2475</t>
  </si>
  <si>
    <t>MATERIALS AND CORROSION-WERKSTOFFE UND KORROSION</t>
  </si>
  <si>
    <t>0947-5117</t>
  </si>
  <si>
    <t>1521-4176</t>
  </si>
  <si>
    <t>MATERIALS &amp; DESIGN</t>
  </si>
  <si>
    <t>0264-1275</t>
  </si>
  <si>
    <t>1873-4197</t>
  </si>
  <si>
    <t>MATERIALS</t>
  </si>
  <si>
    <t>1996-1944</t>
  </si>
  <si>
    <t>MATERIALI IN TEHNOLOGIJE</t>
  </si>
  <si>
    <t>1580-2949</t>
  </si>
  <si>
    <t>1580-3414</t>
  </si>
  <si>
    <t>SLOVENIA</t>
  </si>
  <si>
    <t>INST ZA KOVINSKE MATERIALE I IN TEHNOLOGIE</t>
  </si>
  <si>
    <t>MATERIALES DE CONSTRUCCION</t>
  </si>
  <si>
    <t>0465-2746</t>
  </si>
  <si>
    <t>1988-3226</t>
  </si>
  <si>
    <t>MATERIALE PLASTICE</t>
  </si>
  <si>
    <t>0025-5289</t>
  </si>
  <si>
    <t>2668-8220</t>
  </si>
  <si>
    <t>REVISTA CHIMIE SRL</t>
  </si>
  <si>
    <t>MATERIA-RIO DE JANEIRO</t>
  </si>
  <si>
    <t>1517-7076</t>
  </si>
  <si>
    <t>UNIV FED RIO DE JANEIRO, LAB HIDROGENIO</t>
  </si>
  <si>
    <t>MAGAZINE OF CONCRETE RESEARCH</t>
  </si>
  <si>
    <t>0024-9831</t>
  </si>
  <si>
    <t>1751-763X</t>
  </si>
  <si>
    <t>MADERAS-CIENCIA Y TECNOLOGIA</t>
  </si>
  <si>
    <t>0717-3644</t>
  </si>
  <si>
    <t>0718-221X</t>
  </si>
  <si>
    <t>CHILE</t>
  </si>
  <si>
    <t>UNIV BIO-BIO</t>
  </si>
  <si>
    <t>MACROMOLECULAR MATERIALS AND ENGINEERING</t>
  </si>
  <si>
    <t>1438-7492</t>
  </si>
  <si>
    <t>1439-2054</t>
  </si>
  <si>
    <t>LIQUID CRYSTALS REVIEWS</t>
  </si>
  <si>
    <t>2168-0396</t>
  </si>
  <si>
    <t>2168-0418</t>
  </si>
  <si>
    <t>KOVOVE MATERIALY-METALLIC MATERIALS</t>
  </si>
  <si>
    <t>0023-432X</t>
  </si>
  <si>
    <t>1338-4252</t>
  </si>
  <si>
    <t>REDAKCIA KOVOVE MATERIALY</t>
  </si>
  <si>
    <t>KOREAN JOURNAL OF METALS AND MATERIALS</t>
  </si>
  <si>
    <t>1738-8228</t>
  </si>
  <si>
    <t>KONA POWDER AND PARTICLE JOURNAL</t>
  </si>
  <si>
    <t>0288-4534</t>
  </si>
  <si>
    <t>2187-5537</t>
  </si>
  <si>
    <t>HOSOKAWA POWDER TECHNOL FOUNDATION</t>
  </si>
  <si>
    <t>JOURNAL OF WUHAN UNIVERSITY OF TECHNOLOGY-MATERIALS SCIENCE EDITION</t>
  </si>
  <si>
    <t>1000-2413</t>
  </si>
  <si>
    <t>1993-0437</t>
  </si>
  <si>
    <t>WUHAN UNIV TECHNOLOGY</t>
  </si>
  <si>
    <t>JOURNAL OF WOOD CHEMISTRY AND TECHNOLOGY</t>
  </si>
  <si>
    <t>0277-3813</t>
  </si>
  <si>
    <t>1532-2319</t>
  </si>
  <si>
    <t>JOURNAL OF VINYL &amp; ADDITIVE TECHNOLOGY</t>
  </si>
  <si>
    <t>1083-5601</t>
  </si>
  <si>
    <t>1548-0585</t>
  </si>
  <si>
    <t>JOURNAL OF VACUUM SCIENCE &amp; TECHNOLOGY B</t>
  </si>
  <si>
    <t>2166-2746</t>
  </si>
  <si>
    <t>2166-2754</t>
  </si>
  <si>
    <t>A V S AMER INST PHYSICS</t>
  </si>
  <si>
    <t>JOURNAL OF VACUUM SCIENCE &amp; TECHNOLOGY A</t>
  </si>
  <si>
    <t>0734-2101</t>
  </si>
  <si>
    <t>1520-8559</t>
  </si>
  <si>
    <t>JOURNAL OF THERMOPLASTIC COMPOSITE MATERIALS</t>
  </si>
  <si>
    <t>0892-7057</t>
  </si>
  <si>
    <t>1530-7980</t>
  </si>
  <si>
    <t>JOURNAL OF THERMAL SPRAY TECHNOLOGY</t>
  </si>
  <si>
    <t>1059-9630</t>
  </si>
  <si>
    <t>1544-1016</t>
  </si>
  <si>
    <t>JOURNAL OF THE TEXTILE INSTITUTE</t>
  </si>
  <si>
    <t>0040-5000</t>
  </si>
  <si>
    <t>1754-2340</t>
  </si>
  <si>
    <t>JOURNAL OF THE SOCIETY OF LEATHER TECHNOLOGISTS AND CHEMISTS</t>
  </si>
  <si>
    <t>0144-0322</t>
  </si>
  <si>
    <t>SOC LEATHER TECHNOL CHEMISTS</t>
  </si>
  <si>
    <t>JOURNAL OF THE MECHANICAL BEHAVIOR OF BIOMEDICAL MATERIALS</t>
  </si>
  <si>
    <t>1751-6161</t>
  </si>
  <si>
    <t>1878-0180</t>
  </si>
  <si>
    <t>JOURNAL OF THE KOREAN CERAMIC SOCIETY</t>
  </si>
  <si>
    <t>1229-7801</t>
  </si>
  <si>
    <t>2234-0491</t>
  </si>
  <si>
    <t>JOURNAL OF THE JAPAN INSTITUTE OF METALS AND MATERIALS</t>
  </si>
  <si>
    <t>0021-4876</t>
  </si>
  <si>
    <t>1880-6880</t>
  </si>
  <si>
    <t>JOURNAL OF THE EUROPEAN CERAMIC SOCIETY</t>
  </si>
  <si>
    <t>0955-2219</t>
  </si>
  <si>
    <t>1873-619X</t>
  </si>
  <si>
    <t>JOURNAL OF THE CERAMIC SOCIETY OF JAPAN</t>
  </si>
  <si>
    <t>1882-0743</t>
  </si>
  <si>
    <t>1348-6535</t>
  </si>
  <si>
    <t>CERAMIC SOC JAPAN-NIPPON SERAMIKKUSU KYOKAI</t>
  </si>
  <si>
    <t>JOURNAL OF THE AUSTRALIAN CERAMIC SOCIETY</t>
  </si>
  <si>
    <t>2510-1560</t>
  </si>
  <si>
    <t>2510-1579</t>
  </si>
  <si>
    <t>JOURNAL OF THE AMERICAN LEATHER CHEMISTS ASSOCIATION</t>
  </si>
  <si>
    <t>0002-9726</t>
  </si>
  <si>
    <t>AMER LEATHER CHEMISTS ASSOC</t>
  </si>
  <si>
    <t>JOURNAL OF THE AMERICAN CERAMIC SOCIETY</t>
  </si>
  <si>
    <t>0002-7820</t>
  </si>
  <si>
    <t>1551-2916</t>
  </si>
  <si>
    <t>JOURNAL OF TESTING AND EVALUATION</t>
  </si>
  <si>
    <t>0090-3973</t>
  </si>
  <si>
    <t>1945-7553</t>
  </si>
  <si>
    <t>AMER SOC TESTING MATERIALS</t>
  </si>
  <si>
    <t>JOURNAL OF SUSTAINABLE METALLURGY</t>
  </si>
  <si>
    <t>2199-3823</t>
  </si>
  <si>
    <t>2199-3831</t>
  </si>
  <si>
    <t>JOURNAL OF SUSTAINABLE CEMENT-BASED MATERIALS</t>
  </si>
  <si>
    <t>2165-0373</t>
  </si>
  <si>
    <t>2165-0381</t>
  </si>
  <si>
    <t>JOURNAL OF SUPERHARD MATERIALS</t>
  </si>
  <si>
    <t>1063-4576</t>
  </si>
  <si>
    <t>1934-9408</t>
  </si>
  <si>
    <t>JOURNAL OF SOL-GEL SCIENCE AND TECHNOLOGY</t>
  </si>
  <si>
    <t>0928-0707</t>
  </si>
  <si>
    <t>1573-4846</t>
  </si>
  <si>
    <t>JOURNAL OF SCIENCE-ADVANCED MATERIALS AND DEVICES</t>
  </si>
  <si>
    <t>2468-2284</t>
  </si>
  <si>
    <t>2468-2179</t>
  </si>
  <si>
    <t>VIETNAM</t>
  </si>
  <si>
    <t>VIETNAM NATL UNIV</t>
  </si>
  <si>
    <t>JOURNAL OF SANDWICH STRUCTURES &amp; MATERIALS</t>
  </si>
  <si>
    <t>1099-6362</t>
  </si>
  <si>
    <t>1530-7972</t>
  </si>
  <si>
    <t>JOURNAL OF REINFORCED PLASTICS AND COMPOSITES</t>
  </si>
  <si>
    <t>0731-6844</t>
  </si>
  <si>
    <t>1530-7964</t>
  </si>
  <si>
    <t>JOURNAL OF POWER SOURCES</t>
  </si>
  <si>
    <t>0378-7753</t>
  </si>
  <si>
    <t>1873-2755</t>
  </si>
  <si>
    <t>JOURNAL OF POROUS MATERIALS</t>
  </si>
  <si>
    <t>1380-2224</t>
  </si>
  <si>
    <t>1573-4854</t>
  </si>
  <si>
    <t>JOURNAL OF PLASTIC FILM &amp; SHEETING</t>
  </si>
  <si>
    <t>8756-0879</t>
  </si>
  <si>
    <t>1530-8014</t>
  </si>
  <si>
    <t>JOURNAL OF PHYSICS-MATERIALS</t>
  </si>
  <si>
    <t>2515-7639</t>
  </si>
  <si>
    <t>JOURNAL OF PHYSICS-ENERGY</t>
  </si>
  <si>
    <t>2515-7655</t>
  </si>
  <si>
    <t>JOURNAL OF OVONIC RESEARCH</t>
  </si>
  <si>
    <t>1842-2403</t>
  </si>
  <si>
    <t>1584-9953</t>
  </si>
  <si>
    <t>VIRTUAL CO PHYSICS SRL</t>
  </si>
  <si>
    <t>JOURNAL OF OPTOELECTRONICS AND ADVANCED MATERIALS</t>
  </si>
  <si>
    <t>1454-4164</t>
  </si>
  <si>
    <t>1841-7132</t>
  </si>
  <si>
    <t>JOURNAL OF NONDESTRUCTIVE EVALUATION</t>
  </si>
  <si>
    <t>0195-9298</t>
  </si>
  <si>
    <t>1573-4862</t>
  </si>
  <si>
    <t>SPRINGER/PLENUM PUBLISHERS</t>
  </si>
  <si>
    <t>JOURNAL OF NEW MATERIALS FOR ELECTROCHEMICAL SYSTEMS</t>
  </si>
  <si>
    <t>1480-2422</t>
  </si>
  <si>
    <t>2292-1168</t>
  </si>
  <si>
    <t>INT INFORMATION &amp; ENGINEERING TECHNOLOGY ASSOC</t>
  </si>
  <si>
    <t>JOURNAL OF NATURAL FIBERS</t>
  </si>
  <si>
    <t>1544-0478</t>
  </si>
  <si>
    <t>1544-046X</t>
  </si>
  <si>
    <t>JOURNAL OF NANOPARTICLE RESEARCH</t>
  </si>
  <si>
    <t>1388-0764</t>
  </si>
  <si>
    <t>1572-896X</t>
  </si>
  <si>
    <t>JOURNAL OF NANO RESEARCH</t>
  </si>
  <si>
    <t>1662-5250</t>
  </si>
  <si>
    <t>1661-9897</t>
  </si>
  <si>
    <t>TRANS TECH PUBLICATIONS LTD</t>
  </si>
  <si>
    <t>JOURNAL OF MINING AND METALLURGY SECTION B-METALLURGY</t>
  </si>
  <si>
    <t>1450-5339</t>
  </si>
  <si>
    <t>2217-7175</t>
  </si>
  <si>
    <t>TECHNICAL FACULTY, BOR-SERBIA</t>
  </si>
  <si>
    <t>JOURNAL OF MATERIOMICS</t>
  </si>
  <si>
    <t>2352-8478</t>
  </si>
  <si>
    <t>JOURNAL OF MATERIALS SCIENCE-MATERIALS IN MEDICINE</t>
  </si>
  <si>
    <t>0957-4530</t>
  </si>
  <si>
    <t>1573-4838</t>
  </si>
  <si>
    <t>JOURNAL OF MATERIALS SCIENCE-MATERIALS IN ELECTRONICS</t>
  </si>
  <si>
    <t>0957-4522</t>
  </si>
  <si>
    <t>1573-482X</t>
  </si>
  <si>
    <t>JOURNAL OF MATERIALS SCIENCE &amp; TECHNOLOGY</t>
  </si>
  <si>
    <t>1005-0302</t>
  </si>
  <si>
    <t>1941-1162</t>
  </si>
  <si>
    <t>JOURNAL MATER SCI TECHNOL</t>
  </si>
  <si>
    <t>JOURNAL OF MATERIALS SCIENCE</t>
  </si>
  <si>
    <t>0022-2461</t>
  </si>
  <si>
    <t>1573-4803</t>
  </si>
  <si>
    <t>JOURNAL OF MATERIALS RESEARCH AND TECHNOLOGY-JMR&amp;T</t>
  </si>
  <si>
    <t>2238-7854</t>
  </si>
  <si>
    <t>2214-0697</t>
  </si>
  <si>
    <t>JOURNAL OF MATERIALS RESEARCH</t>
  </si>
  <si>
    <t>0884-2914</t>
  </si>
  <si>
    <t>2044-5326</t>
  </si>
  <si>
    <t>JOURNAL OF MATERIALS PROCESSING TECHNOLOGY</t>
  </si>
  <si>
    <t>0924-0136</t>
  </si>
  <si>
    <t>1873-4774</t>
  </si>
  <si>
    <t>JOURNAL OF MATERIALS ENGINEERING AND PERFORMANCE</t>
  </si>
  <si>
    <t>1059-9495</t>
  </si>
  <si>
    <t>1544-1024</t>
  </si>
  <si>
    <t>JOURNAL OF MATERIALS EDUCATION</t>
  </si>
  <si>
    <t>0738-7989</t>
  </si>
  <si>
    <t>INT COUNCIL MATERIALS EDUCATION</t>
  </si>
  <si>
    <t>JOURNAL OF MATERIALS CHEMISTRY C</t>
  </si>
  <si>
    <t>2050-7526</t>
  </si>
  <si>
    <t>2050-7534</t>
  </si>
  <si>
    <t>JOURNAL OF MATERIALS CHEMISTRY B</t>
  </si>
  <si>
    <t>2050-750X</t>
  </si>
  <si>
    <t>2050-7518</t>
  </si>
  <si>
    <t>JOURNAL OF MATERIALS CHEMISTRY A</t>
  </si>
  <si>
    <t>2050-7488</t>
  </si>
  <si>
    <t>2050-7496</t>
  </si>
  <si>
    <t>JOURNAL OF MAGNESIUM AND ALLOYS</t>
  </si>
  <si>
    <t>2213-9567</t>
  </si>
  <si>
    <t>KEAI PUBLISHING LTD</t>
  </si>
  <si>
    <t>JOURNAL OF LASER MICRO NANOENGINEERING</t>
  </si>
  <si>
    <t>1880-0688</t>
  </si>
  <si>
    <t>JAPAN LASER PROCESSING SOC</t>
  </si>
  <si>
    <t>JOURNAL OF IRON AND STEEL RESEARCH INTERNATIONAL</t>
  </si>
  <si>
    <t>1006-706X</t>
  </si>
  <si>
    <t>2210-3988</t>
  </si>
  <si>
    <t>JOURNAL OF INTELLIGENT MATERIAL SYSTEMS AND STRUCTURES</t>
  </si>
  <si>
    <t>1045-389X</t>
  </si>
  <si>
    <t>1530-8138</t>
  </si>
  <si>
    <t>JOURNAL OF INORGANIC MATERIALS</t>
  </si>
  <si>
    <t>1000-324X</t>
  </si>
  <si>
    <t>JOURNAL OF INFORMATION DISPLAY</t>
  </si>
  <si>
    <t>1598-0316</t>
  </si>
  <si>
    <t>2158-1606</t>
  </si>
  <si>
    <t>JOURNAL OF INDUSTRIAL TEXTILES</t>
  </si>
  <si>
    <t>1528-0837</t>
  </si>
  <si>
    <t>1530-8057</t>
  </si>
  <si>
    <t>SAGE PUBLICATIONS INC</t>
  </si>
  <si>
    <t>JOURNAL OF FUNCTIONAL BIOMATERIALS</t>
  </si>
  <si>
    <t>2079-4983</t>
  </si>
  <si>
    <t>JOURNAL OF FRICTION AND WEAR</t>
  </si>
  <si>
    <t>1068-3666</t>
  </si>
  <si>
    <t>1934-9386</t>
  </si>
  <si>
    <t>JOURNAL OF FIRE SCIENCES</t>
  </si>
  <si>
    <t>0734-9041</t>
  </si>
  <si>
    <t>1530-8049</t>
  </si>
  <si>
    <t>JOURNAL OF FIBER SCIENCE AND TECHNOLOGY</t>
  </si>
  <si>
    <t>2189-7654</t>
  </si>
  <si>
    <t>JOURNAL OF ENGINEERING MATERIALS AND TECHNOLOGY-TRANSACTIONS OF THE ASME</t>
  </si>
  <si>
    <t>0094-4289</t>
  </si>
  <si>
    <t>1528-8889</t>
  </si>
  <si>
    <t>ASME</t>
  </si>
  <si>
    <t>JOURNAL OF ENGINEERED FIBERS AND FABRICS</t>
  </si>
  <si>
    <t>1558-9250</t>
  </si>
  <si>
    <t>JOURNAL OF ENERGETIC MATERIALS</t>
  </si>
  <si>
    <t>0737-0652</t>
  </si>
  <si>
    <t>1545-8822</t>
  </si>
  <si>
    <t>JOURNAL OF ELECTRONIC MATERIALS</t>
  </si>
  <si>
    <t>0361-5235</t>
  </si>
  <si>
    <t>1543-186X</t>
  </si>
  <si>
    <t>JOURNAL OF ELECTROCERAMICS</t>
  </si>
  <si>
    <t>1385-3449</t>
  </si>
  <si>
    <t>1573-8663</t>
  </si>
  <si>
    <t>JOURNAL OF ELASTOMERS AND PLASTICS</t>
  </si>
  <si>
    <t>0095-2443</t>
  </si>
  <si>
    <t>1530-8006</t>
  </si>
  <si>
    <t>JOURNAL OF COMPOSITES FOR CONSTRUCTION</t>
  </si>
  <si>
    <t>1090-0268</t>
  </si>
  <si>
    <t>1943-5614</t>
  </si>
  <si>
    <t>ASCE-AMER SOC CIVIL ENGINEERS</t>
  </si>
  <si>
    <t>JOURNAL OF COMPOSITE MATERIALS</t>
  </si>
  <si>
    <t>0021-9983</t>
  </si>
  <si>
    <t>1530-793X</t>
  </si>
  <si>
    <t>JOURNAL OF COATINGS TECHNOLOGY AND RESEARCH</t>
  </si>
  <si>
    <t>1547-0091</t>
  </si>
  <si>
    <t>1935-3804</t>
  </si>
  <si>
    <t>JOURNAL OF CERAMIC SCIENCE AND TECHNOLOGY</t>
  </si>
  <si>
    <t>2190-9385</t>
  </si>
  <si>
    <t>GOLLER VERLAG GMBH</t>
  </si>
  <si>
    <t>JOURNAL OF CERAMIC PROCESSING RESEARCH</t>
  </si>
  <si>
    <t>1229-9162</t>
  </si>
  <si>
    <t>KOREAN ASSOC CRYSTAL GROWTH, INC</t>
  </si>
  <si>
    <t>JOURNAL OF CENTRAL SOUTH UNIVERSITY</t>
  </si>
  <si>
    <t>2095-2899</t>
  </si>
  <si>
    <t>2227-5223</t>
  </si>
  <si>
    <t>JOURNAL OF CENTRAL SOUTH UNIV</t>
  </si>
  <si>
    <t>JOURNAL OF BIOMEDICAL MATERIALS RESEARCH PART B-APPLIED BIOMATERIALS</t>
  </si>
  <si>
    <t>1552-4973</t>
  </si>
  <si>
    <t>1552-4981</t>
  </si>
  <si>
    <t>JOURNAL OF BIOMEDICAL MATERIALS RESEARCH PART A</t>
  </si>
  <si>
    <t>1549-3296</t>
  </si>
  <si>
    <t>1552-4965</t>
  </si>
  <si>
    <t>JOURNAL OF BIOMATERIALS SCIENCE-POLYMER EDITION</t>
  </si>
  <si>
    <t>0920-5063</t>
  </si>
  <si>
    <t>1568-5624</t>
  </si>
  <si>
    <t>JOURNAL OF BIOBASED MATERIALS AND BIOENERGY</t>
  </si>
  <si>
    <t>1556-6560</t>
  </si>
  <si>
    <t>1556-6579</t>
  </si>
  <si>
    <t>JOURNAL OF BIOACTIVE AND COMPATIBLE POLYMERS</t>
  </si>
  <si>
    <t>0883-9115</t>
  </si>
  <si>
    <t>1530-8030</t>
  </si>
  <si>
    <t>JOURNAL OF ASIAN CERAMIC SOCIETIES</t>
  </si>
  <si>
    <t>2187-0764</t>
  </si>
  <si>
    <t>JOURNAL OF APPLIED BIOMATERIALS &amp; FUNCTIONAL MATERIALS</t>
  </si>
  <si>
    <t>2280-8000</t>
  </si>
  <si>
    <t>JOURNAL OF ALLOYS AND COMPOUNDS</t>
  </si>
  <si>
    <t>0925-8388</t>
  </si>
  <si>
    <t>1873-4669</t>
  </si>
  <si>
    <t>JOURNAL OF ADVANCED CONCRETE TECHNOLOGY</t>
  </si>
  <si>
    <t>1346-8014</t>
  </si>
  <si>
    <t>1347-3913</t>
  </si>
  <si>
    <t>JAPAN CONCRETE INST</t>
  </si>
  <si>
    <t>JOURNAL OF ADVANCED CERAMICS</t>
  </si>
  <si>
    <t>2226-4108</t>
  </si>
  <si>
    <t>2227-8508</t>
  </si>
  <si>
    <t>TSINGHUA UNIV PRESS</t>
  </si>
  <si>
    <t>JOURNAL OF ADHESION SCIENCE AND TECHNOLOGY</t>
  </si>
  <si>
    <t>0169-4243</t>
  </si>
  <si>
    <t>1568-5616</t>
  </si>
  <si>
    <t>JOURNAL OF ADHESION</t>
  </si>
  <si>
    <t>0021-8464</t>
  </si>
  <si>
    <t>1545-5823</t>
  </si>
  <si>
    <t>JOM</t>
  </si>
  <si>
    <t>1047-4838</t>
  </si>
  <si>
    <t>1543-1851</t>
  </si>
  <si>
    <t>ISIJ INTERNATIONAL</t>
  </si>
  <si>
    <t>0915-1559</t>
  </si>
  <si>
    <t>1347-5460</t>
  </si>
  <si>
    <t>IRONMAKING &amp; STEELMAKING</t>
  </si>
  <si>
    <t>0301-9233</t>
  </si>
  <si>
    <t>1743-2812</t>
  </si>
  <si>
    <t>INTERNATIONAL MATERIALS REVIEWS</t>
  </si>
  <si>
    <t>0950-6608</t>
  </si>
  <si>
    <t>1743-2804</t>
  </si>
  <si>
    <t>INTERNATIONAL JOURNAL OF SMART AND NANO MATERIALS</t>
  </si>
  <si>
    <t>1947-5411</t>
  </si>
  <si>
    <t>1947-542X</t>
  </si>
  <si>
    <t>INTERNATIONAL JOURNAL OF REFRACTORY METALS &amp; HARD MATERIALS</t>
  </si>
  <si>
    <t>0263-4368</t>
  </si>
  <si>
    <t>2213-3917</t>
  </si>
  <si>
    <t>INTERNATIONAL JOURNAL OF POWDER METALLURGY</t>
  </si>
  <si>
    <t>0888-7462</t>
  </si>
  <si>
    <t>AMER POWDER METALLURGY INST</t>
  </si>
  <si>
    <t>INTERNATIONAL JOURNAL OF POLYMERIC MATERIALS AND POLYMERIC BIOMATERIALS</t>
  </si>
  <si>
    <t>0091-4037</t>
  </si>
  <si>
    <t>1563-535X</t>
  </si>
  <si>
    <t>TAYLOR &amp; FRANCIS AS</t>
  </si>
  <si>
    <t>INTERNATIONAL JOURNAL OF NANOTECHNOLOGY</t>
  </si>
  <si>
    <t>1475-7435</t>
  </si>
  <si>
    <t>1741-8151</t>
  </si>
  <si>
    <t>INDERSCIENCE ENTERPRISES LTD</t>
  </si>
  <si>
    <t>INTERNATIONAL JOURNAL OF MINERALS METALLURGY AND MATERIALS</t>
  </si>
  <si>
    <t>1674-4799</t>
  </si>
  <si>
    <t>1869-103X</t>
  </si>
  <si>
    <t>INTERNATIONAL JOURNAL OF METALCASTING</t>
  </si>
  <si>
    <t>1939-5981</t>
  </si>
  <si>
    <t>2163-3193</t>
  </si>
  <si>
    <t>SPRINGER INT PUBL AG</t>
  </si>
  <si>
    <t>INTERNATIONAL JOURNAL OF MECHANICS AND MATERIALS IN DESIGN</t>
  </si>
  <si>
    <t>1569-1713</t>
  </si>
  <si>
    <t>1573-8841</t>
  </si>
  <si>
    <t>INTERNATIONAL JOURNAL OF MATERIALS RESEARCH</t>
  </si>
  <si>
    <t>1862-5282</t>
  </si>
  <si>
    <t>2195-8556</t>
  </si>
  <si>
    <t>INTERNATIONAL JOURNAL OF MATERIALS &amp; PRODUCT TECHNOLOGY</t>
  </si>
  <si>
    <t>0268-1900</t>
  </si>
  <si>
    <t>1741-5209</t>
  </si>
  <si>
    <t>INTERNATIONAL JOURNAL OF MATERIAL FORMING</t>
  </si>
  <si>
    <t>1960-6206</t>
  </si>
  <si>
    <t>1960-6214</t>
  </si>
  <si>
    <t>SPRINGER FRANCE</t>
  </si>
  <si>
    <t>INTERNATIONAL JOURNAL OF FATIGUE</t>
  </si>
  <si>
    <t>0142-1123</t>
  </si>
  <si>
    <t>1879-3452</t>
  </si>
  <si>
    <t>INTERNATIONAL JOURNAL OF CLOTHING SCIENCE AND TECHNOLOGY</t>
  </si>
  <si>
    <t>0955-6222</t>
  </si>
  <si>
    <t>1758-5953</t>
  </si>
  <si>
    <t>INTERNATIONAL JOURNAL OF CAST METALS RESEARCH</t>
  </si>
  <si>
    <t>1364-0461</t>
  </si>
  <si>
    <t>1743-1336</t>
  </si>
  <si>
    <t>INTERNATIONAL JOURNAL OF BIOPRINTING</t>
  </si>
  <si>
    <t>2424-7723</t>
  </si>
  <si>
    <t>2424-8002</t>
  </si>
  <si>
    <t>SINGAPORE</t>
  </si>
  <si>
    <t>Accscience Publishing</t>
  </si>
  <si>
    <t>INTERNATIONAL JOURNAL OF APPLIED GLASS SCIENCE</t>
  </si>
  <si>
    <t>2041-1286</t>
  </si>
  <si>
    <t>2041-1294</t>
  </si>
  <si>
    <t>WILEY PERIODICALS, INC</t>
  </si>
  <si>
    <t>INTERNATIONAL JOURNAL OF APPLIED CERAMIC TECHNOLOGY</t>
  </si>
  <si>
    <t>1546-542X</t>
  </si>
  <si>
    <t>1744-7402</t>
  </si>
  <si>
    <t>INTERNATIONAL JOURNAL OF ADHESION AND ADHESIVES</t>
  </si>
  <si>
    <t>0143-7496</t>
  </si>
  <si>
    <t>1879-0127</t>
  </si>
  <si>
    <t>INTERMETALLICS</t>
  </si>
  <si>
    <t>0966-9795</t>
  </si>
  <si>
    <t>1879-0216</t>
  </si>
  <si>
    <t>INTEGRATING MATERIALS AND MANUFACTURING INNOVATION</t>
  </si>
  <si>
    <t>2193-9764</t>
  </si>
  <si>
    <t>2193-9772</t>
  </si>
  <si>
    <t>INORGANIC MATERIALS</t>
  </si>
  <si>
    <t>0020-1685</t>
  </si>
  <si>
    <t>1608-3172</t>
  </si>
  <si>
    <t>INFOMAT</t>
  </si>
  <si>
    <t>2567-3165</t>
  </si>
  <si>
    <t>INDUSTRIA TEXTILA</t>
  </si>
  <si>
    <t>1222-5347</t>
  </si>
  <si>
    <t>INST NATL CERCETARE-DEZVOLTARE TEXTILE PIELARIE-BUCURESTI</t>
  </si>
  <si>
    <t>INDIAN JOURNAL OF FIBRE &amp; TEXTILE RESEARCH</t>
  </si>
  <si>
    <t>0971-0426</t>
  </si>
  <si>
    <t>0975-1025</t>
  </si>
  <si>
    <t>NATL INST SCIENCE COMMUNICATION-NISCAIR</t>
  </si>
  <si>
    <t>IMAGE ANALYSIS &amp; STEREOLOGY</t>
  </si>
  <si>
    <t>1580-3139</t>
  </si>
  <si>
    <t>INT SOC STEREOLOGY</t>
  </si>
  <si>
    <t>HYDROMETALLURGY</t>
  </si>
  <si>
    <t>0304-386X</t>
  </si>
  <si>
    <t>1879-1158</t>
  </si>
  <si>
    <t>HIGH TEMPERATURES-HIGH PRESSURES</t>
  </si>
  <si>
    <t>0018-1544</t>
  </si>
  <si>
    <t>1472-3441</t>
  </si>
  <si>
    <t>OLD CITY PUBLISHING INC</t>
  </si>
  <si>
    <t>HIGH TEMPERATURE MATERIALS AND PROCESSES</t>
  </si>
  <si>
    <t>0334-6455</t>
  </si>
  <si>
    <t>2191-0324</t>
  </si>
  <si>
    <t>ISRAEL</t>
  </si>
  <si>
    <t>HIGH TEMPERATURE CORROSION OF MATERIALS</t>
  </si>
  <si>
    <t>2731-8397</t>
  </si>
  <si>
    <t>GREEN MATERIALS</t>
  </si>
  <si>
    <t>2049-1220</t>
  </si>
  <si>
    <t>2049-1239</t>
  </si>
  <si>
    <t>GRANULAR MATTER</t>
  </si>
  <si>
    <t>1434-5021</t>
  </si>
  <si>
    <t>1434-7636</t>
  </si>
  <si>
    <t>GOLD BULLETIN</t>
  </si>
  <si>
    <t>2364-821X</t>
  </si>
  <si>
    <t>2190-7579</t>
  </si>
  <si>
    <t>GLASS TECHNOLOGY-EUROPEAN JOURNAL OF GLASS SCIENCE AND TECHNOLOGY PART A</t>
  </si>
  <si>
    <t>1753-3546</t>
  </si>
  <si>
    <t>1753-3554</t>
  </si>
  <si>
    <t>GLASS PHYSICS AND CHEMISTRY</t>
  </si>
  <si>
    <t>1087-6596</t>
  </si>
  <si>
    <t>1608-313X</t>
  </si>
  <si>
    <t>GLASS AND CERAMICS</t>
  </si>
  <si>
    <t>0361-7610</t>
  </si>
  <si>
    <t>1573-8515</t>
  </si>
  <si>
    <t>FUNCTIONAL MATERIALS LETTERS</t>
  </si>
  <si>
    <t>1793-6047</t>
  </si>
  <si>
    <t>1793-7213</t>
  </si>
  <si>
    <t>WORLD SCIENTIFIC PUBL CO PTE LTD</t>
  </si>
  <si>
    <t>FRONTIERS OF MATERIALS SCIENCE</t>
  </si>
  <si>
    <t>2095-025X</t>
  </si>
  <si>
    <t>2095-0268</t>
  </si>
  <si>
    <t>HIGHER EDUCATION PRESS</t>
  </si>
  <si>
    <t>FRONTIERS IN MATERIALS</t>
  </si>
  <si>
    <t>2296-8016</t>
  </si>
  <si>
    <t>FRONTIERS MEDIA SA</t>
  </si>
  <si>
    <t>FLEXIBLE AND PRINTED ELECTRONICS</t>
  </si>
  <si>
    <t>2058-8585</t>
  </si>
  <si>
    <t>FIRE TECHNOLOGY</t>
  </si>
  <si>
    <t>0015-2684</t>
  </si>
  <si>
    <t>1572-8099</t>
  </si>
  <si>
    <t>FIRE AND MATERIALS</t>
  </si>
  <si>
    <t>0308-0501</t>
  </si>
  <si>
    <t>1099-1018</t>
  </si>
  <si>
    <t>FIBRES &amp; TEXTILES IN EASTERN EUROPE</t>
  </si>
  <si>
    <t>1230-3666</t>
  </si>
  <si>
    <t>2300-7354</t>
  </si>
  <si>
    <t>Lukasiewicz Research Network - Lodz Institute of Technology</t>
  </si>
  <si>
    <t>FIBERS AND POLYMERS</t>
  </si>
  <si>
    <t>1229-9197</t>
  </si>
  <si>
    <t>1875-0052</t>
  </si>
  <si>
    <t>KOREAN FIBER SOC</t>
  </si>
  <si>
    <t>FATIGUE &amp; FRACTURE OF ENGINEERING MATERIALS &amp; STRUCTURES</t>
  </si>
  <si>
    <t>8756-758X</t>
  </si>
  <si>
    <t>1460-2695</t>
  </si>
  <si>
    <t>FASHION AND TEXTILES</t>
  </si>
  <si>
    <t>2198-0802</t>
  </si>
  <si>
    <t>EUROPEAN JOURNAL OF WOOD AND WOOD PRODUCTS</t>
  </si>
  <si>
    <t>0018-3768</t>
  </si>
  <si>
    <t>1436-736X</t>
  </si>
  <si>
    <t>EUROPEAN CELLS &amp; MATERIALS</t>
  </si>
  <si>
    <t>1473-2262</t>
  </si>
  <si>
    <t>FORUM MULTIMEDIA PUBLISHING, LLC</t>
  </si>
  <si>
    <t>ENERGY STORAGE MATERIALS</t>
  </si>
  <si>
    <t>2405-8297</t>
  </si>
  <si>
    <t>2405-8289</t>
  </si>
  <si>
    <t>ENERGY &amp; ENVIRONMENTAL MATERIALS</t>
  </si>
  <si>
    <t>2575-0356</t>
  </si>
  <si>
    <t>EMERGING MATERIALS RESEARCH</t>
  </si>
  <si>
    <t>2046-0147</t>
  </si>
  <si>
    <t>2046-0155</t>
  </si>
  <si>
    <t>ELECTRONIC MATERIALS LETTERS</t>
  </si>
  <si>
    <t>1738-8090</t>
  </si>
  <si>
    <t>2093-6788</t>
  </si>
  <si>
    <t>ECOMAT</t>
  </si>
  <si>
    <t>2567-3173</t>
  </si>
  <si>
    <t>DRVNA INDUSTRIJA</t>
  </si>
  <si>
    <t>0012-6772</t>
  </si>
  <si>
    <t>1847-1153</t>
  </si>
  <si>
    <t>CROATIA</t>
  </si>
  <si>
    <t>ZAGREB UNIV, FAC FORESTRY</t>
  </si>
  <si>
    <t>DREWNO</t>
  </si>
  <si>
    <t>1644-3985</t>
  </si>
  <si>
    <t>INST TECHNOL DREWNA</t>
  </si>
  <si>
    <t>DIGEST JOURNAL OF NANOMATERIALS AND BIOSTRUCTURES</t>
  </si>
  <si>
    <t>1842-3582</t>
  </si>
  <si>
    <t>DIAMOND AND RELATED MATERIALS</t>
  </si>
  <si>
    <t>0925-9635</t>
  </si>
  <si>
    <t>1879-0062</t>
  </si>
  <si>
    <t>CURRENT OPINION IN SOLID STATE &amp; MATERIALS SCIENCE</t>
  </si>
  <si>
    <t>1359-0286</t>
  </si>
  <si>
    <t>1879-0348</t>
  </si>
  <si>
    <t>CURRENT NANOSCIENCE</t>
  </si>
  <si>
    <t>1573-4137</t>
  </si>
  <si>
    <t>1875-6786</t>
  </si>
  <si>
    <t>CRYSTALS</t>
  </si>
  <si>
    <t>2073-4352</t>
  </si>
  <si>
    <t>CORROSION SCIENCE</t>
  </si>
  <si>
    <t>0010-938X</t>
  </si>
  <si>
    <t>1879-0496</t>
  </si>
  <si>
    <t>CORROSION REVIEWS</t>
  </si>
  <si>
    <t>0334-6005</t>
  </si>
  <si>
    <t>2191-0316</t>
  </si>
  <si>
    <t>CORROSION ENGINEERING SCIENCE AND TECHNOLOGY</t>
  </si>
  <si>
    <t>1478-422X</t>
  </si>
  <si>
    <t>1743-2782</t>
  </si>
  <si>
    <t>CORROSION</t>
  </si>
  <si>
    <t>0010-9312</t>
  </si>
  <si>
    <t>1938-159X</t>
  </si>
  <si>
    <t>NATL ASSOC CORROSION ENG</t>
  </si>
  <si>
    <t>CONSTRUCTION AND BUILDING MATERIALS</t>
  </si>
  <si>
    <t>0950-0618</t>
  </si>
  <si>
    <t>1879-0526</t>
  </si>
  <si>
    <t>COMPUTATIONAL MATERIALS SCIENCE</t>
  </si>
  <si>
    <t>0927-0256</t>
  </si>
  <si>
    <t>1879-0801</t>
  </si>
  <si>
    <t>COMPOSITES SCIENCE AND TECHNOLOGY</t>
  </si>
  <si>
    <t>0266-3538</t>
  </si>
  <si>
    <t>1879-1050</t>
  </si>
  <si>
    <t>COMPOSITES PART B-ENGINEERING</t>
  </si>
  <si>
    <t>1359-8368</t>
  </si>
  <si>
    <t>1879-1069</t>
  </si>
  <si>
    <t>COMPOSITES PART A-APPLIED SCIENCE AND MANUFACTURING</t>
  </si>
  <si>
    <t>1359-835X</t>
  </si>
  <si>
    <t>1878-5840</t>
  </si>
  <si>
    <t>COMPOSITES COMMUNICATIONS</t>
  </si>
  <si>
    <t>2452-2139</t>
  </si>
  <si>
    <t>COMPOSITES AND ADVANCED MATERIALS</t>
  </si>
  <si>
    <t>2634-9833</t>
  </si>
  <si>
    <t>COMPOSITE STRUCTURES</t>
  </si>
  <si>
    <t>0263-8223</t>
  </si>
  <si>
    <t>1879-1085</t>
  </si>
  <si>
    <t>COMPOSITE INTERFACES</t>
  </si>
  <si>
    <t>0927-6440</t>
  </si>
  <si>
    <t>1568-5543</t>
  </si>
  <si>
    <t>COATINGSTECH</t>
  </si>
  <si>
    <t>2475-1499</t>
  </si>
  <si>
    <t>2475-8469</t>
  </si>
  <si>
    <t>AM COATINGS ASSOC-ACA</t>
  </si>
  <si>
    <t>COATINGS</t>
  </si>
  <si>
    <t>2079-6412</t>
  </si>
  <si>
    <t>CHINA FOUNDRY</t>
  </si>
  <si>
    <t>1672-6421</t>
  </si>
  <si>
    <t>2365-9459</t>
  </si>
  <si>
    <t>SPRINGER SINGAPORE PTE LTD</t>
  </si>
  <si>
    <t>CHEMNANOMAT</t>
  </si>
  <si>
    <t>2199-692X</t>
  </si>
  <si>
    <t>CHEMISTRY OF MATERIALS</t>
  </si>
  <si>
    <t>0897-4756</t>
  </si>
  <si>
    <t>1520-5002</t>
  </si>
  <si>
    <t>CERAMICS-SILIKATY</t>
  </si>
  <si>
    <t>0862-5468</t>
  </si>
  <si>
    <t>1804-5847</t>
  </si>
  <si>
    <t>CZECH REPUBLIC</t>
  </si>
  <si>
    <t>UNIV CHEMISTRY &amp; TECHNOLOGY, PRAGUE</t>
  </si>
  <si>
    <t>CERAMICS INTERNATIONAL</t>
  </si>
  <si>
    <t>0272-8842</t>
  </si>
  <si>
    <t>1873-3956</t>
  </si>
  <si>
    <t>CEMENT WAPNO BETON</t>
  </si>
  <si>
    <t>1425-8129</t>
  </si>
  <si>
    <t>STOWARZYSZENIE PRODUCENTOW CEMENTU</t>
  </si>
  <si>
    <t>CEMENT AND CONCRETE RESEARCH</t>
  </si>
  <si>
    <t>0008-8846</t>
  </si>
  <si>
    <t>1873-3948</t>
  </si>
  <si>
    <t>CEMENT &amp; CONCRETE COMPOSITES</t>
  </si>
  <si>
    <t>0958-9465</t>
  </si>
  <si>
    <t>1873-393X</t>
  </si>
  <si>
    <t>CELLULOSE CHEMISTRY AND TECHNOLOGY</t>
  </si>
  <si>
    <t>0576-9787</t>
  </si>
  <si>
    <t>EDITURA ACAD ROMANE</t>
  </si>
  <si>
    <t>CELLULOSE</t>
  </si>
  <si>
    <t>0969-0239</t>
  </si>
  <si>
    <t>1572-882X</t>
  </si>
  <si>
    <t>CELLULAR POLYMERS</t>
  </si>
  <si>
    <t>0262-4893</t>
  </si>
  <si>
    <t>1478-2421</t>
  </si>
  <si>
    <t>CELL REPORTS PHYSICAL SCIENCE</t>
  </si>
  <si>
    <t>2666-3864</t>
  </si>
  <si>
    <t>CASE STUDIES IN CONSTRUCTION MATERIALS</t>
  </si>
  <si>
    <t>2214-5095</t>
  </si>
  <si>
    <t>CARBON LETTERS</t>
  </si>
  <si>
    <t>1976-4251</t>
  </si>
  <si>
    <t>2233-4998</t>
  </si>
  <si>
    <t>SPRINGER JAPAN KK</t>
  </si>
  <si>
    <t>CARBON ENERGY</t>
  </si>
  <si>
    <t>2637-9368</t>
  </si>
  <si>
    <t>CANADIAN METALLURGICAL QUARTERLY</t>
  </si>
  <si>
    <t>0008-4433</t>
  </si>
  <si>
    <t>1879-1395</t>
  </si>
  <si>
    <t>CALPHAD-COMPUTER COUPLING OF PHASE DIAGRAMS AND THERMOCHEMISTRY</t>
  </si>
  <si>
    <t>0364-5916</t>
  </si>
  <si>
    <t>1873-2984</t>
  </si>
  <si>
    <t>BULLETIN OF MATERIALS SCIENCE</t>
  </si>
  <si>
    <t>0250-4707</t>
  </si>
  <si>
    <t>0973-7669</t>
  </si>
  <si>
    <t>INDIAN ACAD SCIENCES</t>
  </si>
  <si>
    <t>BOLETIN DE LA SOCIEDAD ESPANOLA DE CERAMICA Y VIDRIO</t>
  </si>
  <si>
    <t>0366-3175</t>
  </si>
  <si>
    <t>2173-0431</t>
  </si>
  <si>
    <t>BIORESOURCES</t>
  </si>
  <si>
    <t>1930-2126</t>
  </si>
  <si>
    <t>NORTH CAROLINA STATE UNIV DEPT WOOD &amp; PAPER SCI</t>
  </si>
  <si>
    <t>BIOMEDICAL MATERIALS</t>
  </si>
  <si>
    <t>1748-6041</t>
  </si>
  <si>
    <t>1748-605X</t>
  </si>
  <si>
    <t>BIOMATERIALS SCIENCE</t>
  </si>
  <si>
    <t>2047-4830</t>
  </si>
  <si>
    <t>2047-4849</t>
  </si>
  <si>
    <t>BIOMATERIALS RESEARCH</t>
  </si>
  <si>
    <t>1226-4601</t>
  </si>
  <si>
    <t>2055-7124</t>
  </si>
  <si>
    <t>SPRINGERNATURE</t>
  </si>
  <si>
    <t>BIOMATERIALS ADVANCES</t>
  </si>
  <si>
    <t>2772-9508</t>
  </si>
  <si>
    <t>BIOMATERIALS</t>
  </si>
  <si>
    <t>0142-9612</t>
  </si>
  <si>
    <t>1878-5905</t>
  </si>
  <si>
    <t>BIOINTERPHASES</t>
  </si>
  <si>
    <t>1934-8630</t>
  </si>
  <si>
    <t>1559-4106</t>
  </si>
  <si>
    <t>AIP Publishing</t>
  </si>
  <si>
    <t>BIOFABRICATION</t>
  </si>
  <si>
    <t>1758-5082</t>
  </si>
  <si>
    <t>1758-5090</t>
  </si>
  <si>
    <t>BIOACTIVE MATERIALS</t>
  </si>
  <si>
    <t>2452-199X</t>
  </si>
  <si>
    <t>BEILSTEIN JOURNAL OF NANOTECHNOLOGY</t>
  </si>
  <si>
    <t>2190-4286</t>
  </si>
  <si>
    <t>BEILSTEIN-INSTITUT</t>
  </si>
  <si>
    <t>BATTERIES-BASEL</t>
  </si>
  <si>
    <t>2313-0105</t>
  </si>
  <si>
    <t>BATTERIES &amp; SUPERCAPS</t>
  </si>
  <si>
    <t>2566-6223</t>
  </si>
  <si>
    <t>AUTEX RESEARCH JOURNAL</t>
  </si>
  <si>
    <t>1470-9589</t>
  </si>
  <si>
    <t>2300-0929</t>
  </si>
  <si>
    <t>ARCHIVES OF METALLURGY AND MATERIALS</t>
  </si>
  <si>
    <t>1733-3490</t>
  </si>
  <si>
    <t>2300-1909</t>
  </si>
  <si>
    <t>POLSKA AKAD NAUK, POLISH ACAD SCIENCES, INST METALL &amp; MATER SCI PAS</t>
  </si>
  <si>
    <t>APPLIED SURFACE SCIENCE</t>
  </si>
  <si>
    <t>0169-4332</t>
  </si>
  <si>
    <t>1873-5584</t>
  </si>
  <si>
    <t>APPLIED MATERIALS TODAY</t>
  </si>
  <si>
    <t>2352-9407</t>
  </si>
  <si>
    <t>APPLIED COMPOSITE MATERIALS</t>
  </si>
  <si>
    <t>0929-189X</t>
  </si>
  <si>
    <t>1573-4897</t>
  </si>
  <si>
    <t>APL MATERIALS</t>
  </si>
  <si>
    <t>2166-532X</t>
  </si>
  <si>
    <t>ANTI-CORROSION METHODS AND MATERIALS</t>
  </si>
  <si>
    <t>0003-5599</t>
  </si>
  <si>
    <t>1758-4221</t>
  </si>
  <si>
    <t>ANNUAL REVIEW OF MATERIALS RESEARCH</t>
  </si>
  <si>
    <t>1531-7331</t>
  </si>
  <si>
    <t>1545-4118</t>
  </si>
  <si>
    <t>ANNUAL REVIEWS</t>
  </si>
  <si>
    <t>AMERICAN CERAMIC SOCIETY BULLETIN</t>
  </si>
  <si>
    <t>0002-7812</t>
  </si>
  <si>
    <t>1945-2705</t>
  </si>
  <si>
    <t>AMER CERAMIC SOC</t>
  </si>
  <si>
    <t>AIP ADVANCES</t>
  </si>
  <si>
    <t>2158-3226</t>
  </si>
  <si>
    <t>ADVANCES IN NANO RESEARCH</t>
  </si>
  <si>
    <t>2287-237X</t>
  </si>
  <si>
    <t>2287-2388</t>
  </si>
  <si>
    <t>TECHNO-PRESS</t>
  </si>
  <si>
    <t>ADVANCES IN CONCRETE CONSTRUCTION</t>
  </si>
  <si>
    <t>2287-5301</t>
  </si>
  <si>
    <t>2287-531X</t>
  </si>
  <si>
    <t>ADVANCES IN CEMENT RESEARCH</t>
  </si>
  <si>
    <t>0951-7197</t>
  </si>
  <si>
    <t>1751-7605</t>
  </si>
  <si>
    <t>ADVANCES IN APPLIED CERAMICS</t>
  </si>
  <si>
    <t>1743-6753</t>
  </si>
  <si>
    <t>1743-6761</t>
  </si>
  <si>
    <t>ADVANCED SUSTAINABLE SYSTEMS</t>
  </si>
  <si>
    <t>2366-7486</t>
  </si>
  <si>
    <t>ADVANCED OPTICAL MATERIALS</t>
  </si>
  <si>
    <t>2195-1071</t>
  </si>
  <si>
    <t>ADVANCED MATERIALS TECHNOLOGIES</t>
  </si>
  <si>
    <t>2365-709X</t>
  </si>
  <si>
    <t>ADVANCED MATERIALS INTERFACES</t>
  </si>
  <si>
    <t>2196-7350</t>
  </si>
  <si>
    <t>ADVANCED MATERIALS &amp; PROCESSES</t>
  </si>
  <si>
    <t>0882-7958</t>
  </si>
  <si>
    <t>2161-9425</t>
  </si>
  <si>
    <t>ASM INT</t>
  </si>
  <si>
    <t>ADVANCED MATERIALS</t>
  </si>
  <si>
    <t>0935-9648</t>
  </si>
  <si>
    <t>1521-4095</t>
  </si>
  <si>
    <t>ADVANCED HEALTHCARE MATERIALS</t>
  </si>
  <si>
    <t>2192-2640</t>
  </si>
  <si>
    <t>2192-2659</t>
  </si>
  <si>
    <t>ADVANCED FUNCTIONAL MATERIALS</t>
  </si>
  <si>
    <t>1616-301X</t>
  </si>
  <si>
    <t>1616-3028</t>
  </si>
  <si>
    <t>ADVANCED FIBER MATERIALS</t>
  </si>
  <si>
    <t>2524-7921</t>
  </si>
  <si>
    <t>2524-793X</t>
  </si>
  <si>
    <t>ADVANCED ENGINEERING MATERIALS</t>
  </si>
  <si>
    <t>1438-1656</t>
  </si>
  <si>
    <t>1527-2648</t>
  </si>
  <si>
    <t>ADVANCED ENERGY MATERIALS</t>
  </si>
  <si>
    <t>1614-6832</t>
  </si>
  <si>
    <t>1614-6840</t>
  </si>
  <si>
    <t>ADVANCED ELECTRONIC MATERIALS</t>
  </si>
  <si>
    <t>2199-160X</t>
  </si>
  <si>
    <t>ADVANCED COMPOSITES AND HYBRID MATERIALS</t>
  </si>
  <si>
    <t>2522-0128</t>
  </si>
  <si>
    <t>2522-0136</t>
  </si>
  <si>
    <t>ADVANCED COMPOSITE MATERIALS</t>
  </si>
  <si>
    <t>0924-3046</t>
  </si>
  <si>
    <t>1568-5519</t>
  </si>
  <si>
    <t>ADVANCED BIOLOGY</t>
  </si>
  <si>
    <t>2701-0198</t>
  </si>
  <si>
    <t>ACTA METALLURGICA SINICA-ENGLISH LETTERS</t>
  </si>
  <si>
    <t>1006-7191</t>
  </si>
  <si>
    <t>2194-1289</t>
  </si>
  <si>
    <t>CHINESE ACAD SCIENCES, INST METAL RESEARCH</t>
  </si>
  <si>
    <t>ACTA METALLURGICA SINICA</t>
  </si>
  <si>
    <t>0412-1961</t>
  </si>
  <si>
    <t>ACTA MATERIALIA</t>
  </si>
  <si>
    <t>1359-6454</t>
  </si>
  <si>
    <t>1873-2453</t>
  </si>
  <si>
    <t>ACTA BIOMATERIALIA</t>
  </si>
  <si>
    <t>1742-7061</t>
  </si>
  <si>
    <t>1878-7568</t>
  </si>
  <si>
    <t>ACS NANO</t>
  </si>
  <si>
    <t>1936-0851</t>
  </si>
  <si>
    <t>1936-086X</t>
  </si>
  <si>
    <t>ACS MATERIALS LETTERS</t>
  </si>
  <si>
    <t>2639-4979</t>
  </si>
  <si>
    <t>ACS ENERGY LETTERS</t>
  </si>
  <si>
    <t>2380-8195</t>
  </si>
  <si>
    <t>ACS BIOMATERIALS SCIENCE &amp; ENGINEERING</t>
  </si>
  <si>
    <t>2373-9878</t>
  </si>
  <si>
    <t>ACS APPLIED POLYMER MATERIALS</t>
  </si>
  <si>
    <t>2637-6105</t>
  </si>
  <si>
    <t>ACS APPLIED NANO MATERIALS</t>
  </si>
  <si>
    <t>2574-0970</t>
  </si>
  <si>
    <t>ACS APPLIED MATERIALS &amp; INTERFACES</t>
  </si>
  <si>
    <t>1944-8244</t>
  </si>
  <si>
    <t>1944-8252</t>
  </si>
  <si>
    <t>ACS APPLIED ENERGY MATERIALS</t>
  </si>
  <si>
    <t>2574-0962</t>
  </si>
  <si>
    <t>ACS APPLIED ELECTRONIC MATERIALS</t>
  </si>
  <si>
    <t>2637-6113</t>
  </si>
  <si>
    <t>ACI MATERIALS JOURNAL</t>
  </si>
  <si>
    <t>0889-325X</t>
  </si>
  <si>
    <t>1944-737X</t>
  </si>
  <si>
    <t>AMER CONCRETE INST</t>
  </si>
  <si>
    <t>AATCC REVIEW</t>
  </si>
  <si>
    <t>1532-8813</t>
  </si>
  <si>
    <t>AMER ASSOC TEXTILE CHEMISTS COLORISTS-AATCC</t>
  </si>
  <si>
    <t>AATCC JOURNAL OF RESEARCH</t>
  </si>
  <si>
    <t>2330-5517</t>
  </si>
  <si>
    <t>2D MATERIALS</t>
  </si>
  <si>
    <t>2053-1583</t>
  </si>
  <si>
    <t>MATERIALS PERFORMANCE</t>
  </si>
  <si>
    <t>0094-1492</t>
  </si>
  <si>
    <t>刊名</t>
    <phoneticPr fontId="2" type="noConversion"/>
  </si>
  <si>
    <t>影响因子(IF)</t>
    <phoneticPr fontId="2" type="noConversion"/>
  </si>
  <si>
    <t>JCR分区</t>
    <phoneticPr fontId="2" type="noConversion"/>
  </si>
  <si>
    <r>
      <rPr>
        <b/>
        <sz val="16"/>
        <color theme="1"/>
        <rFont val="Times New Roman"/>
        <family val="1"/>
      </rPr>
      <t>ESI</t>
    </r>
    <r>
      <rPr>
        <b/>
        <sz val="16"/>
        <color theme="1"/>
        <rFont val="宋体"/>
        <family val="3"/>
        <charset val="134"/>
      </rPr>
      <t>期刊列表</t>
    </r>
    <r>
      <rPr>
        <b/>
        <sz val="16"/>
        <color theme="1"/>
        <rFont val="Times New Roman"/>
        <family val="1"/>
      </rPr>
      <t>-</t>
    </r>
    <r>
      <rPr>
        <b/>
        <sz val="16"/>
        <color theme="1"/>
        <rFont val="宋体"/>
        <family val="3"/>
        <charset val="134"/>
      </rPr>
      <t>材料科学</t>
    </r>
    <r>
      <rPr>
        <b/>
        <sz val="16"/>
        <color theme="1"/>
        <rFont val="Times New Roman"/>
        <family val="1"/>
      </rPr>
      <t>202311</t>
    </r>
    <phoneticPr fontId="2" type="noConversion"/>
  </si>
  <si>
    <t>备注</t>
    <phoneticPr fontId="2" type="noConversion"/>
  </si>
  <si>
    <t>2020年至检索日20231117未有论文被收录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</si>
</sst>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9"/>
      <name val="等线"/>
      <family val="2"/>
      <charset val="134"/>
      <scheme val="minor"/>
    </font>
    <font>
      <b/>
      <sz val="16"/>
      <color theme="1"/>
      <name val="等线"/>
      <family val="2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E2EFDA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等线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表3" displayName="表3" ref="A2:J423" totalsRowShown="0" headerRowDxfId="11" dataDxfId="10">
  <tableColumns count="10">
    <tableColumn id="1" name="刊名" dataDxfId="9"/>
    <tableColumn id="2" name="影响因子(IF)" dataDxfId="8"/>
    <tableColumn id="3" name="JCR分区" dataDxfId="7"/>
    <tableColumn id="4" name="JIF Rank" dataDxfId="6"/>
    <tableColumn id="5" name="立即指数" dataDxfId="5"/>
    <tableColumn id="6" name="ISSN" dataDxfId="4"/>
    <tableColumn id="7" name="eISSN" dataDxfId="3"/>
    <tableColumn id="8" name="出版来源国家/地区" dataDxfId="2"/>
    <tableColumn id="9" name="出版商（全部）" dataDxfId="1"/>
    <tableColumn id="10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3"/>
  <sheetViews>
    <sheetView tabSelected="1" workbookViewId="0">
      <selection activeCell="H5" sqref="H5"/>
    </sheetView>
  </sheetViews>
  <sheetFormatPr defaultRowHeight="14.25" x14ac:dyDescent="0.2"/>
  <cols>
    <col min="1" max="1" width="60.625" style="5" customWidth="1"/>
    <col min="2" max="3" width="13.625" style="2" customWidth="1"/>
    <col min="4" max="5" width="10.625" style="2" customWidth="1"/>
    <col min="6" max="7" width="13.625" style="2" customWidth="1"/>
    <col min="8" max="8" width="25.625" style="5" customWidth="1"/>
    <col min="9" max="9" width="30.625" style="5" customWidth="1"/>
    <col min="10" max="10" width="31" customWidth="1"/>
  </cols>
  <sheetData>
    <row r="1" spans="1:10" ht="31.5" customHeight="1" x14ac:dyDescent="0.2">
      <c r="A1" s="10" t="s">
        <v>1320</v>
      </c>
      <c r="B1" s="11"/>
      <c r="C1" s="11"/>
      <c r="D1" s="11"/>
      <c r="E1" s="11"/>
      <c r="F1" s="11"/>
      <c r="G1" s="11"/>
      <c r="H1" s="11"/>
      <c r="I1" s="11"/>
    </row>
    <row r="2" spans="1:10" s="2" customFormat="1" ht="30.75" customHeight="1" x14ac:dyDescent="0.2">
      <c r="A2" s="3" t="s">
        <v>1317</v>
      </c>
      <c r="B2" s="1" t="s">
        <v>1318</v>
      </c>
      <c r="C2" s="1" t="s">
        <v>1319</v>
      </c>
      <c r="D2" s="1" t="s">
        <v>0</v>
      </c>
      <c r="E2" s="1" t="s">
        <v>1</v>
      </c>
      <c r="F2" s="1" t="s">
        <v>2</v>
      </c>
      <c r="G2" s="1" t="s">
        <v>3</v>
      </c>
      <c r="H2" s="3" t="s">
        <v>4</v>
      </c>
      <c r="I2" s="3" t="s">
        <v>5</v>
      </c>
      <c r="J2" s="7" t="s">
        <v>1321</v>
      </c>
    </row>
    <row r="3" spans="1:10" x14ac:dyDescent="0.2">
      <c r="A3" s="4" t="s">
        <v>337</v>
      </c>
      <c r="B3" s="1">
        <v>83.5</v>
      </c>
      <c r="C3" s="1" t="s">
        <v>36</v>
      </c>
      <c r="D3" s="1" t="str">
        <f>"1/344"</f>
        <v>1/344</v>
      </c>
      <c r="E3" s="1">
        <v>13.6</v>
      </c>
      <c r="F3" s="1" t="s">
        <v>338</v>
      </c>
      <c r="G3" s="1" t="s">
        <v>338</v>
      </c>
      <c r="H3" s="4" t="s">
        <v>21</v>
      </c>
      <c r="I3" s="4" t="s">
        <v>315</v>
      </c>
      <c r="J3" s="12"/>
    </row>
    <row r="4" spans="1:10" x14ac:dyDescent="0.2">
      <c r="A4" s="4" t="s">
        <v>342</v>
      </c>
      <c r="B4" s="1">
        <v>41.2</v>
      </c>
      <c r="C4" s="1" t="s">
        <v>36</v>
      </c>
      <c r="D4" s="1" t="str">
        <f>"1/160"</f>
        <v>1/160</v>
      </c>
      <c r="E4" s="1">
        <v>8</v>
      </c>
      <c r="F4" s="1" t="s">
        <v>343</v>
      </c>
      <c r="G4" s="1" t="s">
        <v>344</v>
      </c>
      <c r="H4" s="4" t="s">
        <v>21</v>
      </c>
      <c r="I4" s="4" t="s">
        <v>315</v>
      </c>
      <c r="J4" s="12"/>
    </row>
    <row r="5" spans="1:10" x14ac:dyDescent="0.2">
      <c r="A5" s="4" t="s">
        <v>339</v>
      </c>
      <c r="B5" s="1">
        <v>38.299999999999997</v>
      </c>
      <c r="C5" s="1" t="s">
        <v>36</v>
      </c>
      <c r="D5" s="1" t="str">
        <f>"5/344"</f>
        <v>5/344</v>
      </c>
      <c r="E5" s="1">
        <v>8</v>
      </c>
      <c r="F5" s="1" t="s">
        <v>340</v>
      </c>
      <c r="G5" s="1" t="s">
        <v>341</v>
      </c>
      <c r="H5" s="4" t="s">
        <v>21</v>
      </c>
      <c r="I5" s="4" t="s">
        <v>315</v>
      </c>
      <c r="J5" s="12"/>
    </row>
    <row r="6" spans="1:10" x14ac:dyDescent="0.2">
      <c r="A6" s="4" t="s">
        <v>243</v>
      </c>
      <c r="B6" s="1">
        <v>37.4</v>
      </c>
      <c r="C6" s="1" t="s">
        <v>36</v>
      </c>
      <c r="D6" s="1" t="str">
        <f>"6/344"</f>
        <v>6/344</v>
      </c>
      <c r="E6" s="1">
        <v>6.2</v>
      </c>
      <c r="F6" s="1" t="s">
        <v>244</v>
      </c>
      <c r="G6" s="1" t="s">
        <v>245</v>
      </c>
      <c r="H6" s="4" t="s">
        <v>21</v>
      </c>
      <c r="I6" s="4" t="s">
        <v>44</v>
      </c>
      <c r="J6" s="12"/>
    </row>
    <row r="7" spans="1:10" x14ac:dyDescent="0.2">
      <c r="A7" s="4" t="s">
        <v>496</v>
      </c>
      <c r="B7" s="1">
        <v>31</v>
      </c>
      <c r="C7" s="1" t="s">
        <v>36</v>
      </c>
      <c r="D7" s="1" t="str">
        <f>"7/344"</f>
        <v>7/344</v>
      </c>
      <c r="E7" s="1">
        <v>4.9000000000000004</v>
      </c>
      <c r="F7" s="1" t="s">
        <v>497</v>
      </c>
      <c r="G7" s="1" t="s">
        <v>498</v>
      </c>
      <c r="H7" s="4" t="s">
        <v>64</v>
      </c>
      <c r="I7" s="4" t="s">
        <v>40</v>
      </c>
      <c r="J7" s="12"/>
    </row>
    <row r="8" spans="1:10" x14ac:dyDescent="0.2">
      <c r="A8" s="4" t="s">
        <v>1244</v>
      </c>
      <c r="B8" s="1">
        <v>29.4</v>
      </c>
      <c r="C8" s="1" t="s">
        <v>36</v>
      </c>
      <c r="D8" s="1" t="str">
        <f>"4/161"</f>
        <v>4/161</v>
      </c>
      <c r="E8" s="1">
        <v>6.2</v>
      </c>
      <c r="F8" s="1" t="s">
        <v>1245</v>
      </c>
      <c r="G8" s="1" t="s">
        <v>1246</v>
      </c>
      <c r="H8" s="4" t="s">
        <v>10</v>
      </c>
      <c r="I8" s="4" t="s">
        <v>116</v>
      </c>
      <c r="J8" s="12"/>
    </row>
    <row r="9" spans="1:10" x14ac:dyDescent="0.2">
      <c r="A9" s="4" t="s">
        <v>1259</v>
      </c>
      <c r="B9" s="1">
        <v>27.8</v>
      </c>
      <c r="C9" s="1" t="s">
        <v>36</v>
      </c>
      <c r="D9" s="1" t="str">
        <f>"9/344"</f>
        <v>9/344</v>
      </c>
      <c r="E9" s="1">
        <v>4.9000000000000004</v>
      </c>
      <c r="F9" s="1" t="s">
        <v>1260</v>
      </c>
      <c r="G9" s="1" t="s">
        <v>1261</v>
      </c>
      <c r="H9" s="4" t="s">
        <v>10</v>
      </c>
      <c r="I9" s="4" t="s">
        <v>116</v>
      </c>
      <c r="J9" s="12"/>
    </row>
    <row r="10" spans="1:10" x14ac:dyDescent="0.2">
      <c r="A10" s="4" t="s">
        <v>362</v>
      </c>
      <c r="B10" s="1">
        <v>26.6</v>
      </c>
      <c r="C10" s="1" t="s">
        <v>36</v>
      </c>
      <c r="D10" s="1" t="str">
        <f>"10/344"</f>
        <v>10/344</v>
      </c>
      <c r="E10" s="1">
        <v>12</v>
      </c>
      <c r="F10" s="1" t="s">
        <v>363</v>
      </c>
      <c r="G10" s="1" t="s">
        <v>364</v>
      </c>
      <c r="H10" s="4" t="s">
        <v>59</v>
      </c>
      <c r="I10" s="4" t="s">
        <v>365</v>
      </c>
      <c r="J10" s="12"/>
    </row>
    <row r="11" spans="1:10" x14ac:dyDescent="0.2">
      <c r="A11" s="4" t="s">
        <v>467</v>
      </c>
      <c r="B11" s="1">
        <v>24.2</v>
      </c>
      <c r="C11" s="1" t="s">
        <v>36</v>
      </c>
      <c r="D11" s="1" t="str">
        <f>"11/344"</f>
        <v>11/344</v>
      </c>
      <c r="E11" s="1">
        <v>4.5999999999999996</v>
      </c>
      <c r="F11" s="1" t="s">
        <v>468</v>
      </c>
      <c r="G11" s="1" t="s">
        <v>469</v>
      </c>
      <c r="H11" s="4" t="s">
        <v>21</v>
      </c>
      <c r="I11" s="4" t="s">
        <v>272</v>
      </c>
      <c r="J11" s="12"/>
    </row>
    <row r="12" spans="1:10" x14ac:dyDescent="0.2">
      <c r="A12" s="4" t="s">
        <v>938</v>
      </c>
      <c r="B12" s="1">
        <v>22.7</v>
      </c>
      <c r="C12" s="1" t="s">
        <v>36</v>
      </c>
      <c r="D12" s="1" t="str">
        <f>"12/344"</f>
        <v>12/344</v>
      </c>
      <c r="E12" s="1">
        <v>5.5</v>
      </c>
      <c r="F12" s="1" t="s">
        <v>9</v>
      </c>
      <c r="G12" s="1" t="s">
        <v>939</v>
      </c>
      <c r="H12" s="4" t="s">
        <v>59</v>
      </c>
      <c r="I12" s="4" t="s">
        <v>112</v>
      </c>
      <c r="J12" s="12"/>
    </row>
    <row r="13" spans="1:10" x14ac:dyDescent="0.2">
      <c r="A13" s="4" t="s">
        <v>1289</v>
      </c>
      <c r="B13" s="1">
        <v>22</v>
      </c>
      <c r="C13" s="1" t="s">
        <v>36</v>
      </c>
      <c r="D13" s="1" t="str">
        <f>"13/344"</f>
        <v>13/344</v>
      </c>
      <c r="E13" s="1">
        <v>3.7</v>
      </c>
      <c r="F13" s="1" t="s">
        <v>1290</v>
      </c>
      <c r="G13" s="1" t="s">
        <v>1290</v>
      </c>
      <c r="H13" s="4" t="s">
        <v>28</v>
      </c>
      <c r="I13" s="4" t="s">
        <v>369</v>
      </c>
      <c r="J13" s="12"/>
    </row>
    <row r="14" spans="1:10" x14ac:dyDescent="0.2">
      <c r="A14" s="4" t="s">
        <v>1140</v>
      </c>
      <c r="B14" s="1">
        <v>20.5</v>
      </c>
      <c r="C14" s="1" t="s">
        <v>36</v>
      </c>
      <c r="D14" s="1" t="str">
        <f>"14/344"</f>
        <v>14/344</v>
      </c>
      <c r="E14" s="1">
        <v>4.8</v>
      </c>
      <c r="F14" s="1" t="s">
        <v>9</v>
      </c>
      <c r="G14" s="1" t="s">
        <v>1141</v>
      </c>
      <c r="H14" s="4" t="s">
        <v>59</v>
      </c>
      <c r="I14" s="4" t="s">
        <v>112</v>
      </c>
      <c r="J14" s="12"/>
    </row>
    <row r="15" spans="1:10" x14ac:dyDescent="0.2">
      <c r="A15" s="4" t="s">
        <v>1019</v>
      </c>
      <c r="B15" s="1">
        <v>20.399999999999999</v>
      </c>
      <c r="C15" s="1" t="s">
        <v>36</v>
      </c>
      <c r="D15" s="1" t="str">
        <f>"15/344"</f>
        <v>15/344</v>
      </c>
      <c r="E15" s="1">
        <v>4.4000000000000004</v>
      </c>
      <c r="F15" s="1" t="s">
        <v>1020</v>
      </c>
      <c r="G15" s="1" t="s">
        <v>1021</v>
      </c>
      <c r="H15" s="4" t="s">
        <v>64</v>
      </c>
      <c r="I15" s="4" t="s">
        <v>60</v>
      </c>
      <c r="J15" s="12"/>
    </row>
    <row r="16" spans="1:10" x14ac:dyDescent="0.2">
      <c r="A16" s="4" t="s">
        <v>1264</v>
      </c>
      <c r="B16" s="1">
        <v>20.100000000000001</v>
      </c>
      <c r="C16" s="1" t="s">
        <v>36</v>
      </c>
      <c r="D16" s="1" t="str">
        <f>"1/28"</f>
        <v>1/28</v>
      </c>
      <c r="E16" s="1">
        <v>7.2</v>
      </c>
      <c r="F16" s="1" t="s">
        <v>1265</v>
      </c>
      <c r="G16" s="1" t="s">
        <v>1266</v>
      </c>
      <c r="H16" s="4" t="s">
        <v>39</v>
      </c>
      <c r="I16" s="4" t="s">
        <v>1167</v>
      </c>
      <c r="J16" s="12"/>
    </row>
    <row r="17" spans="1:10" x14ac:dyDescent="0.2">
      <c r="A17" s="4" t="s">
        <v>1250</v>
      </c>
      <c r="B17" s="1">
        <v>19</v>
      </c>
      <c r="C17" s="1" t="s">
        <v>36</v>
      </c>
      <c r="D17" s="1" t="str">
        <f>"8/178"</f>
        <v>8/178</v>
      </c>
      <c r="E17" s="1">
        <v>3.5</v>
      </c>
      <c r="F17" s="1" t="s">
        <v>1251</v>
      </c>
      <c r="G17" s="1" t="s">
        <v>1252</v>
      </c>
      <c r="H17" s="4" t="s">
        <v>10</v>
      </c>
      <c r="I17" s="4" t="s">
        <v>116</v>
      </c>
      <c r="J17" s="12"/>
    </row>
    <row r="18" spans="1:10" x14ac:dyDescent="0.2">
      <c r="A18" s="4" t="s">
        <v>440</v>
      </c>
      <c r="B18" s="1">
        <v>18.899999999999999</v>
      </c>
      <c r="C18" s="1" t="s">
        <v>36</v>
      </c>
      <c r="D18" s="1" t="str">
        <f>"17/344"</f>
        <v>17/344</v>
      </c>
      <c r="E18" s="1">
        <v>5.3</v>
      </c>
      <c r="F18" s="1" t="s">
        <v>441</v>
      </c>
      <c r="G18" s="1" t="s">
        <v>442</v>
      </c>
      <c r="H18" s="4" t="s">
        <v>28</v>
      </c>
      <c r="I18" s="4" t="s">
        <v>443</v>
      </c>
      <c r="J18" s="12"/>
    </row>
    <row r="19" spans="1:10" x14ac:dyDescent="0.2">
      <c r="A19" s="4" t="s">
        <v>1180</v>
      </c>
      <c r="B19" s="1">
        <v>18.899999999999999</v>
      </c>
      <c r="C19" s="1" t="s">
        <v>36</v>
      </c>
      <c r="D19" s="1" t="str">
        <f>"1/45"</f>
        <v>1/45</v>
      </c>
      <c r="E19" s="1">
        <v>6.9</v>
      </c>
      <c r="F19" s="1" t="s">
        <v>9</v>
      </c>
      <c r="G19" s="1" t="s">
        <v>1181</v>
      </c>
      <c r="H19" s="4" t="s">
        <v>59</v>
      </c>
      <c r="I19" s="4" t="s">
        <v>753</v>
      </c>
      <c r="J19" s="12"/>
    </row>
    <row r="20" spans="1:10" x14ac:dyDescent="0.2">
      <c r="A20" s="4" t="s">
        <v>372</v>
      </c>
      <c r="B20" s="1">
        <v>17.600000000000001</v>
      </c>
      <c r="C20" s="1" t="s">
        <v>36</v>
      </c>
      <c r="D20" s="1" t="str">
        <f>"18/344"</f>
        <v>18/344</v>
      </c>
      <c r="E20" s="1">
        <v>3.5</v>
      </c>
      <c r="F20" s="1" t="s">
        <v>373</v>
      </c>
      <c r="G20" s="1" t="s">
        <v>374</v>
      </c>
      <c r="H20" s="4" t="s">
        <v>28</v>
      </c>
      <c r="I20" s="4" t="s">
        <v>60</v>
      </c>
      <c r="J20" s="12"/>
    </row>
    <row r="21" spans="1:10" x14ac:dyDescent="0.2">
      <c r="A21" s="4" t="s">
        <v>751</v>
      </c>
      <c r="B21" s="1">
        <v>17.600000000000001</v>
      </c>
      <c r="C21" s="1" t="s">
        <v>36</v>
      </c>
      <c r="D21" s="1" t="str">
        <f>"1/79"</f>
        <v>1/79</v>
      </c>
      <c r="E21" s="1">
        <v>6.1</v>
      </c>
      <c r="F21" s="1" t="s">
        <v>752</v>
      </c>
      <c r="G21" s="1" t="s">
        <v>752</v>
      </c>
      <c r="H21" s="4" t="s">
        <v>59</v>
      </c>
      <c r="I21" s="4" t="s">
        <v>753</v>
      </c>
      <c r="J21" s="12"/>
    </row>
    <row r="22" spans="1:10" x14ac:dyDescent="0.2">
      <c r="A22" s="4" t="s">
        <v>1284</v>
      </c>
      <c r="B22" s="1">
        <v>17.100000000000001</v>
      </c>
      <c r="C22" s="1" t="s">
        <v>36</v>
      </c>
      <c r="D22" s="1" t="str">
        <f>"20/344"</f>
        <v>20/344</v>
      </c>
      <c r="E22" s="1">
        <v>2.8</v>
      </c>
      <c r="F22" s="1" t="s">
        <v>1285</v>
      </c>
      <c r="G22" s="1" t="s">
        <v>1286</v>
      </c>
      <c r="H22" s="4" t="s">
        <v>28</v>
      </c>
      <c r="I22" s="4" t="s">
        <v>369</v>
      </c>
      <c r="J22" s="12"/>
    </row>
    <row r="23" spans="1:10" x14ac:dyDescent="0.2">
      <c r="A23" s="4" t="s">
        <v>846</v>
      </c>
      <c r="B23" s="1">
        <v>16.899999999999999</v>
      </c>
      <c r="C23" s="1" t="s">
        <v>36</v>
      </c>
      <c r="D23" s="1" t="str">
        <f>"1/29"</f>
        <v>1/29</v>
      </c>
      <c r="E23" s="1">
        <v>4.7</v>
      </c>
      <c r="F23" s="1" t="s">
        <v>847</v>
      </c>
      <c r="G23" s="1" t="s">
        <v>848</v>
      </c>
      <c r="H23" s="4" t="s">
        <v>59</v>
      </c>
      <c r="I23" s="4" t="s">
        <v>849</v>
      </c>
      <c r="J23" s="12"/>
    </row>
    <row r="24" spans="1:10" x14ac:dyDescent="0.2">
      <c r="A24" s="4" t="s">
        <v>865</v>
      </c>
      <c r="B24" s="1">
        <v>16.100000000000001</v>
      </c>
      <c r="C24" s="1" t="s">
        <v>36</v>
      </c>
      <c r="D24" s="1" t="str">
        <f>"21/344"</f>
        <v>21/344</v>
      </c>
      <c r="E24" s="1">
        <v>2.4</v>
      </c>
      <c r="F24" s="1" t="s">
        <v>866</v>
      </c>
      <c r="G24" s="1" t="s">
        <v>867</v>
      </c>
      <c r="H24" s="4" t="s">
        <v>28</v>
      </c>
      <c r="I24" s="4" t="s">
        <v>22</v>
      </c>
      <c r="J24" s="12"/>
    </row>
    <row r="25" spans="1:10" x14ac:dyDescent="0.2">
      <c r="A25" s="4" t="s">
        <v>1253</v>
      </c>
      <c r="B25" s="1">
        <v>16.100000000000001</v>
      </c>
      <c r="C25" s="1" t="s">
        <v>36</v>
      </c>
      <c r="D25" s="1" t="str">
        <f>"1/26"</f>
        <v>1/26</v>
      </c>
      <c r="E25" s="1">
        <v>3.5</v>
      </c>
      <c r="F25" s="1" t="s">
        <v>1254</v>
      </c>
      <c r="G25" s="1" t="s">
        <v>1255</v>
      </c>
      <c r="H25" s="4" t="s">
        <v>59</v>
      </c>
      <c r="I25" s="4" t="s">
        <v>1167</v>
      </c>
      <c r="J25" s="12"/>
    </row>
    <row r="26" spans="1:10" x14ac:dyDescent="0.2">
      <c r="A26" s="4" t="s">
        <v>137</v>
      </c>
      <c r="B26" s="1">
        <v>15.9</v>
      </c>
      <c r="C26" s="1" t="s">
        <v>36</v>
      </c>
      <c r="D26" s="1" t="str">
        <f>"23/344"</f>
        <v>23/344</v>
      </c>
      <c r="E26" s="1">
        <v>3</v>
      </c>
      <c r="F26" s="1" t="s">
        <v>9</v>
      </c>
      <c r="G26" s="1" t="s">
        <v>138</v>
      </c>
      <c r="H26" s="4" t="s">
        <v>10</v>
      </c>
      <c r="I26" s="4" t="s">
        <v>112</v>
      </c>
      <c r="J26" s="12"/>
    </row>
    <row r="27" spans="1:10" x14ac:dyDescent="0.2">
      <c r="A27" s="4" t="s">
        <v>1022</v>
      </c>
      <c r="B27" s="1">
        <v>15</v>
      </c>
      <c r="C27" s="1" t="s">
        <v>36</v>
      </c>
      <c r="D27" s="1" t="str">
        <f>"25/344"</f>
        <v>25/344</v>
      </c>
      <c r="E27" s="1">
        <v>4.9000000000000004</v>
      </c>
      <c r="F27" s="1" t="s">
        <v>9</v>
      </c>
      <c r="G27" s="1" t="s">
        <v>1023</v>
      </c>
      <c r="H27" s="4" t="s">
        <v>59</v>
      </c>
      <c r="I27" s="4" t="s">
        <v>112</v>
      </c>
      <c r="J27" s="12"/>
    </row>
    <row r="28" spans="1:10" x14ac:dyDescent="0.2">
      <c r="A28" s="4" t="s">
        <v>316</v>
      </c>
      <c r="B28" s="1">
        <v>14.6</v>
      </c>
      <c r="C28" s="1" t="s">
        <v>36</v>
      </c>
      <c r="D28" s="1" t="str">
        <f>"6/275"</f>
        <v>6/275</v>
      </c>
      <c r="E28" s="1">
        <v>2.2999999999999998</v>
      </c>
      <c r="F28" s="1" t="s">
        <v>9</v>
      </c>
      <c r="G28" s="1" t="s">
        <v>317</v>
      </c>
      <c r="H28" s="4" t="s">
        <v>59</v>
      </c>
      <c r="I28" s="4" t="s">
        <v>315</v>
      </c>
      <c r="J28" s="12"/>
    </row>
    <row r="29" spans="1:10" x14ac:dyDescent="0.2">
      <c r="A29" s="4" t="s">
        <v>1030</v>
      </c>
      <c r="B29" s="1">
        <v>14.6</v>
      </c>
      <c r="C29" s="1" t="s">
        <v>36</v>
      </c>
      <c r="D29" s="1" t="str">
        <f>"3/46"</f>
        <v>3/46</v>
      </c>
      <c r="E29" s="1">
        <v>3.5</v>
      </c>
      <c r="F29" s="1" t="s">
        <v>9</v>
      </c>
      <c r="G29" s="1" t="s">
        <v>1031</v>
      </c>
      <c r="H29" s="4" t="s">
        <v>10</v>
      </c>
      <c r="I29" s="4" t="s">
        <v>112</v>
      </c>
      <c r="J29" s="12"/>
    </row>
    <row r="30" spans="1:10" x14ac:dyDescent="0.2">
      <c r="A30" s="4" t="s">
        <v>1170</v>
      </c>
      <c r="B30" s="1">
        <v>14</v>
      </c>
      <c r="C30" s="1" t="s">
        <v>36</v>
      </c>
      <c r="D30" s="1" t="str">
        <f>"2/45"</f>
        <v>2/45</v>
      </c>
      <c r="E30" s="1">
        <v>2.9</v>
      </c>
      <c r="F30" s="1" t="s">
        <v>1171</v>
      </c>
      <c r="G30" s="1" t="s">
        <v>1172</v>
      </c>
      <c r="H30" s="4" t="s">
        <v>64</v>
      </c>
      <c r="I30" s="4" t="s">
        <v>272</v>
      </c>
      <c r="J30" s="12"/>
    </row>
    <row r="31" spans="1:10" x14ac:dyDescent="0.2">
      <c r="A31" s="4" t="s">
        <v>141</v>
      </c>
      <c r="B31" s="1">
        <v>13.3</v>
      </c>
      <c r="C31" s="1" t="s">
        <v>36</v>
      </c>
      <c r="D31" s="1" t="str">
        <f>"11/160"</f>
        <v>11/160</v>
      </c>
      <c r="E31" s="1">
        <v>2.6</v>
      </c>
      <c r="F31" s="1" t="s">
        <v>142</v>
      </c>
      <c r="G31" s="1" t="s">
        <v>143</v>
      </c>
      <c r="H31" s="4" t="s">
        <v>10</v>
      </c>
      <c r="I31" s="4" t="s">
        <v>116</v>
      </c>
      <c r="J31" s="12"/>
    </row>
    <row r="32" spans="1:10" x14ac:dyDescent="0.2">
      <c r="A32" s="4" t="s">
        <v>516</v>
      </c>
      <c r="B32" s="1">
        <v>13.3</v>
      </c>
      <c r="C32" s="1" t="s">
        <v>36</v>
      </c>
      <c r="D32" s="1" t="str">
        <f>"29/344"</f>
        <v>29/344</v>
      </c>
      <c r="E32" s="1">
        <v>2</v>
      </c>
      <c r="F32" s="1" t="s">
        <v>517</v>
      </c>
      <c r="G32" s="1" t="s">
        <v>518</v>
      </c>
      <c r="H32" s="4" t="s">
        <v>21</v>
      </c>
      <c r="I32" s="4" t="s">
        <v>85</v>
      </c>
      <c r="J32" s="12"/>
    </row>
    <row r="33" spans="1:10" x14ac:dyDescent="0.2">
      <c r="A33" s="4" t="s">
        <v>1075</v>
      </c>
      <c r="B33" s="1">
        <v>13.1</v>
      </c>
      <c r="C33" s="1" t="s">
        <v>36</v>
      </c>
      <c r="D33" s="1" t="str">
        <f>"1/90"</f>
        <v>1/90</v>
      </c>
      <c r="E33" s="1">
        <v>3.7</v>
      </c>
      <c r="F33" s="1" t="s">
        <v>1076</v>
      </c>
      <c r="G33" s="1" t="s">
        <v>1077</v>
      </c>
      <c r="H33" s="4" t="s">
        <v>21</v>
      </c>
      <c r="I33" s="4" t="s">
        <v>272</v>
      </c>
      <c r="J33" s="12"/>
    </row>
    <row r="34" spans="1:10" x14ac:dyDescent="0.2">
      <c r="A34" s="4" t="s">
        <v>139</v>
      </c>
      <c r="B34" s="1">
        <v>12.4</v>
      </c>
      <c r="C34" s="1" t="s">
        <v>36</v>
      </c>
      <c r="D34" s="1" t="str">
        <f>"31/344"</f>
        <v>31/344</v>
      </c>
      <c r="E34" s="1">
        <v>2.2000000000000002</v>
      </c>
      <c r="F34" s="1" t="s">
        <v>140</v>
      </c>
      <c r="G34" s="1" t="s">
        <v>140</v>
      </c>
      <c r="H34" s="4" t="s">
        <v>10</v>
      </c>
      <c r="I34" s="4" t="s">
        <v>116</v>
      </c>
      <c r="J34" s="12"/>
    </row>
    <row r="35" spans="1:10" x14ac:dyDescent="0.2">
      <c r="A35" s="4" t="s">
        <v>748</v>
      </c>
      <c r="B35" s="1">
        <v>11.9</v>
      </c>
      <c r="C35" s="1" t="s">
        <v>36</v>
      </c>
      <c r="D35" s="1" t="str">
        <f>"11/119"</f>
        <v>11/119</v>
      </c>
      <c r="E35" s="1">
        <v>2.2000000000000002</v>
      </c>
      <c r="F35" s="1" t="s">
        <v>749</v>
      </c>
      <c r="G35" s="1" t="s">
        <v>750</v>
      </c>
      <c r="H35" s="4" t="s">
        <v>21</v>
      </c>
      <c r="I35" s="4" t="s">
        <v>85</v>
      </c>
      <c r="J35" s="12"/>
    </row>
    <row r="36" spans="1:10" x14ac:dyDescent="0.2">
      <c r="A36" s="4" t="s">
        <v>375</v>
      </c>
      <c r="B36" s="1">
        <v>11.7</v>
      </c>
      <c r="C36" s="1" t="s">
        <v>36</v>
      </c>
      <c r="D36" s="1" t="str">
        <f>"12/160"</f>
        <v>12/160</v>
      </c>
      <c r="E36" s="1">
        <v>2.1</v>
      </c>
      <c r="F36" s="1" t="s">
        <v>376</v>
      </c>
      <c r="G36" s="1" t="s">
        <v>376</v>
      </c>
      <c r="H36" s="4" t="s">
        <v>10</v>
      </c>
      <c r="I36" s="4" t="s">
        <v>108</v>
      </c>
      <c r="J36" s="12"/>
    </row>
    <row r="37" spans="1:10" x14ac:dyDescent="0.2">
      <c r="A37" s="4" t="s">
        <v>453</v>
      </c>
      <c r="B37" s="1">
        <v>11.5</v>
      </c>
      <c r="C37" s="1" t="s">
        <v>36</v>
      </c>
      <c r="D37" s="1" t="str">
        <f>"14/160"</f>
        <v>14/160</v>
      </c>
      <c r="E37" s="1">
        <v>2.6</v>
      </c>
      <c r="F37" s="1" t="s">
        <v>454</v>
      </c>
      <c r="G37" s="1" t="s">
        <v>454</v>
      </c>
      <c r="H37" s="4" t="s">
        <v>64</v>
      </c>
      <c r="I37" s="4" t="s">
        <v>60</v>
      </c>
      <c r="J37" s="12"/>
    </row>
    <row r="38" spans="1:10" x14ac:dyDescent="0.2">
      <c r="A38" s="4" t="s">
        <v>1117</v>
      </c>
      <c r="B38" s="1">
        <v>11.4</v>
      </c>
      <c r="C38" s="1" t="s">
        <v>36</v>
      </c>
      <c r="D38" s="1" t="str">
        <f>"2/68"</f>
        <v>2/68</v>
      </c>
      <c r="E38" s="1">
        <v>2.4</v>
      </c>
      <c r="F38" s="1" t="s">
        <v>1118</v>
      </c>
      <c r="G38" s="1" t="s">
        <v>1119</v>
      </c>
      <c r="H38" s="4" t="s">
        <v>21</v>
      </c>
      <c r="I38" s="4" t="s">
        <v>44</v>
      </c>
      <c r="J38" s="12"/>
    </row>
    <row r="39" spans="1:10" x14ac:dyDescent="0.2">
      <c r="A39" s="4" t="s">
        <v>1287</v>
      </c>
      <c r="B39" s="1">
        <v>11.4</v>
      </c>
      <c r="C39" s="1" t="s">
        <v>36</v>
      </c>
      <c r="D39" s="1" t="str">
        <f>"35/344"</f>
        <v>35/344</v>
      </c>
      <c r="E39" s="1">
        <v>2</v>
      </c>
      <c r="F39" s="1" t="s">
        <v>9</v>
      </c>
      <c r="G39" s="1" t="s">
        <v>1288</v>
      </c>
      <c r="H39" s="4" t="s">
        <v>28</v>
      </c>
      <c r="I39" s="4" t="s">
        <v>369</v>
      </c>
      <c r="J39" s="12"/>
    </row>
    <row r="40" spans="1:10" x14ac:dyDescent="0.2">
      <c r="A40" s="4" t="s">
        <v>1164</v>
      </c>
      <c r="B40" s="1">
        <v>11.3</v>
      </c>
      <c r="C40" s="1" t="s">
        <v>36</v>
      </c>
      <c r="D40" s="1" t="str">
        <f>"5/96"</f>
        <v>5/96</v>
      </c>
      <c r="E40" s="1">
        <v>1.2</v>
      </c>
      <c r="F40" s="1" t="s">
        <v>1165</v>
      </c>
      <c r="G40" s="1" t="s">
        <v>1166</v>
      </c>
      <c r="H40" s="4" t="s">
        <v>404</v>
      </c>
      <c r="I40" s="4" t="s">
        <v>1167</v>
      </c>
      <c r="J40" s="12"/>
    </row>
    <row r="41" spans="1:10" x14ac:dyDescent="0.2">
      <c r="A41" s="4" t="s">
        <v>1045</v>
      </c>
      <c r="B41" s="1">
        <v>11</v>
      </c>
      <c r="C41" s="1" t="s">
        <v>36</v>
      </c>
      <c r="D41" s="1" t="str">
        <f>"15/160"</f>
        <v>15/160</v>
      </c>
      <c r="E41" s="1">
        <v>6.4</v>
      </c>
      <c r="F41" s="1" t="s">
        <v>1046</v>
      </c>
      <c r="G41" s="1" t="s">
        <v>1047</v>
      </c>
      <c r="H41" s="4" t="s">
        <v>28</v>
      </c>
      <c r="I41" s="4" t="s">
        <v>44</v>
      </c>
      <c r="J41" s="12"/>
    </row>
    <row r="42" spans="1:10" x14ac:dyDescent="0.2">
      <c r="A42" s="4" t="s">
        <v>720</v>
      </c>
      <c r="B42" s="1">
        <v>10.9</v>
      </c>
      <c r="C42" s="1" t="s">
        <v>36</v>
      </c>
      <c r="D42" s="1" t="str">
        <f>"2/79"</f>
        <v>2/79</v>
      </c>
      <c r="E42" s="1">
        <v>5.4</v>
      </c>
      <c r="F42" s="1" t="s">
        <v>721</v>
      </c>
      <c r="G42" s="1" t="s">
        <v>722</v>
      </c>
      <c r="H42" s="4" t="s">
        <v>59</v>
      </c>
      <c r="I42" s="4" t="s">
        <v>723</v>
      </c>
      <c r="J42" s="12"/>
    </row>
    <row r="43" spans="1:10" x14ac:dyDescent="0.2">
      <c r="A43" s="4" t="s">
        <v>366</v>
      </c>
      <c r="B43" s="1">
        <v>10.8</v>
      </c>
      <c r="C43" s="1" t="s">
        <v>36</v>
      </c>
      <c r="D43" s="1" t="str">
        <f>"17/160"</f>
        <v>17/160</v>
      </c>
      <c r="E43" s="1">
        <v>2</v>
      </c>
      <c r="F43" s="1" t="s">
        <v>367</v>
      </c>
      <c r="G43" s="1" t="s">
        <v>368</v>
      </c>
      <c r="H43" s="4" t="s">
        <v>28</v>
      </c>
      <c r="I43" s="4" t="s">
        <v>369</v>
      </c>
      <c r="J43" s="12"/>
    </row>
    <row r="44" spans="1:10" x14ac:dyDescent="0.2">
      <c r="A44" s="4" t="s">
        <v>1120</v>
      </c>
      <c r="B44" s="1">
        <v>10.5</v>
      </c>
      <c r="C44" s="1" t="s">
        <v>36</v>
      </c>
      <c r="D44" s="1" t="str">
        <f>"3/68"</f>
        <v>3/68</v>
      </c>
      <c r="E44" s="1">
        <v>2.7</v>
      </c>
      <c r="F44" s="1" t="s">
        <v>1121</v>
      </c>
      <c r="G44" s="1" t="s">
        <v>1122</v>
      </c>
      <c r="H44" s="4" t="s">
        <v>21</v>
      </c>
      <c r="I44" s="4" t="s">
        <v>272</v>
      </c>
      <c r="J44" s="12"/>
    </row>
    <row r="45" spans="1:10" x14ac:dyDescent="0.2">
      <c r="A45" s="4" t="s">
        <v>455</v>
      </c>
      <c r="B45" s="1">
        <v>10.3</v>
      </c>
      <c r="C45" s="1" t="s">
        <v>36</v>
      </c>
      <c r="D45" s="1" t="str">
        <f>"44/344"</f>
        <v>44/344</v>
      </c>
      <c r="E45" s="1">
        <v>2</v>
      </c>
      <c r="F45" s="1" t="s">
        <v>456</v>
      </c>
      <c r="G45" s="1" t="s">
        <v>456</v>
      </c>
      <c r="H45" s="4" t="s">
        <v>21</v>
      </c>
      <c r="I45" s="4" t="s">
        <v>60</v>
      </c>
      <c r="J45" s="12"/>
    </row>
    <row r="46" spans="1:10" x14ac:dyDescent="0.2">
      <c r="A46" s="4" t="s">
        <v>465</v>
      </c>
      <c r="B46" s="1">
        <v>10</v>
      </c>
      <c r="C46" s="1" t="s">
        <v>36</v>
      </c>
      <c r="D46" s="1" t="str">
        <f>"46/344"</f>
        <v>46/344</v>
      </c>
      <c r="E46" s="1">
        <v>2</v>
      </c>
      <c r="F46" s="1" t="s">
        <v>466</v>
      </c>
      <c r="G46" s="1" t="s">
        <v>466</v>
      </c>
      <c r="H46" s="4" t="s">
        <v>21</v>
      </c>
      <c r="I46" s="4" t="s">
        <v>60</v>
      </c>
      <c r="J46" s="12"/>
    </row>
    <row r="47" spans="1:10" x14ac:dyDescent="0.2">
      <c r="A47" s="4" t="s">
        <v>1247</v>
      </c>
      <c r="B47" s="1">
        <v>10</v>
      </c>
      <c r="C47" s="1" t="s">
        <v>36</v>
      </c>
      <c r="D47" s="1" t="str">
        <f>"4/45"</f>
        <v>4/45</v>
      </c>
      <c r="E47" s="1">
        <v>1.5</v>
      </c>
      <c r="F47" s="1" t="s">
        <v>1248</v>
      </c>
      <c r="G47" s="1" t="s">
        <v>1249</v>
      </c>
      <c r="H47" s="4" t="s">
        <v>21</v>
      </c>
      <c r="I47" s="4" t="s">
        <v>112</v>
      </c>
      <c r="J47" s="12"/>
    </row>
    <row r="48" spans="1:10" x14ac:dyDescent="0.2">
      <c r="A48" s="4" t="s">
        <v>318</v>
      </c>
      <c r="B48" s="1">
        <v>9.6999999999999993</v>
      </c>
      <c r="C48" s="1" t="s">
        <v>36</v>
      </c>
      <c r="D48" s="1" t="str">
        <f>"49/344"</f>
        <v>49/344</v>
      </c>
      <c r="E48" s="1">
        <v>2</v>
      </c>
      <c r="F48" s="1" t="s">
        <v>319</v>
      </c>
      <c r="G48" s="1" t="s">
        <v>319</v>
      </c>
      <c r="H48" s="4" t="s">
        <v>21</v>
      </c>
      <c r="I48" s="4" t="s">
        <v>315</v>
      </c>
      <c r="J48" s="12"/>
    </row>
    <row r="49" spans="1:10" x14ac:dyDescent="0.2">
      <c r="A49" s="4" t="s">
        <v>320</v>
      </c>
      <c r="B49" s="1">
        <v>9.6999999999999993</v>
      </c>
      <c r="C49" s="1" t="s">
        <v>36</v>
      </c>
      <c r="D49" s="1" t="str">
        <f>"19/160"</f>
        <v>19/160</v>
      </c>
      <c r="E49" s="1">
        <v>1.6</v>
      </c>
      <c r="F49" s="1" t="s">
        <v>9</v>
      </c>
      <c r="G49" s="1" t="s">
        <v>321</v>
      </c>
      <c r="H49" s="4" t="s">
        <v>21</v>
      </c>
      <c r="I49" s="4" t="s">
        <v>315</v>
      </c>
      <c r="J49" s="12"/>
    </row>
    <row r="50" spans="1:10" x14ac:dyDescent="0.2">
      <c r="A50" s="4" t="s">
        <v>322</v>
      </c>
      <c r="B50" s="1">
        <v>9.6999999999999993</v>
      </c>
      <c r="C50" s="1" t="s">
        <v>36</v>
      </c>
      <c r="D50" s="1" t="str">
        <f>"49/344"</f>
        <v>49/344</v>
      </c>
      <c r="E50" s="1">
        <v>1.8</v>
      </c>
      <c r="F50" s="1" t="s">
        <v>323</v>
      </c>
      <c r="G50" s="1" t="s">
        <v>324</v>
      </c>
      <c r="H50" s="4" t="s">
        <v>72</v>
      </c>
      <c r="I50" s="4" t="s">
        <v>315</v>
      </c>
      <c r="J50" s="12"/>
    </row>
    <row r="51" spans="1:10" x14ac:dyDescent="0.2">
      <c r="A51" s="4" t="s">
        <v>1209</v>
      </c>
      <c r="B51" s="1">
        <v>9.6999999999999993</v>
      </c>
      <c r="C51" s="1" t="s">
        <v>36</v>
      </c>
      <c r="D51" s="1" t="str">
        <f>"49/344"</f>
        <v>49/344</v>
      </c>
      <c r="E51" s="1">
        <v>1.8</v>
      </c>
      <c r="F51" s="1" t="s">
        <v>1210</v>
      </c>
      <c r="G51" s="1" t="s">
        <v>1211</v>
      </c>
      <c r="H51" s="4" t="s">
        <v>28</v>
      </c>
      <c r="I51" s="4" t="s">
        <v>1212</v>
      </c>
      <c r="J51" s="12"/>
    </row>
    <row r="52" spans="1:10" x14ac:dyDescent="0.2">
      <c r="A52" s="4" t="s">
        <v>1281</v>
      </c>
      <c r="B52" s="1">
        <v>9.6999999999999993</v>
      </c>
      <c r="C52" s="1" t="s">
        <v>36</v>
      </c>
      <c r="D52" s="1" t="str">
        <f>"9/96"</f>
        <v>9/96</v>
      </c>
      <c r="E52" s="1">
        <v>2.6</v>
      </c>
      <c r="F52" s="1" t="s">
        <v>1282</v>
      </c>
      <c r="G52" s="1" t="s">
        <v>1283</v>
      </c>
      <c r="H52" s="4" t="s">
        <v>21</v>
      </c>
      <c r="I52" s="4" t="s">
        <v>272</v>
      </c>
      <c r="J52" s="12"/>
    </row>
    <row r="53" spans="1:10" x14ac:dyDescent="0.2">
      <c r="A53" s="4" t="s">
        <v>81</v>
      </c>
      <c r="B53" s="1">
        <v>9.6</v>
      </c>
      <c r="C53" s="1" t="s">
        <v>36</v>
      </c>
      <c r="D53" s="1" t="str">
        <f>"18/119"</f>
        <v>18/119</v>
      </c>
      <c r="E53" s="1">
        <v>2.6</v>
      </c>
      <c r="F53" s="1" t="s">
        <v>82</v>
      </c>
      <c r="G53" s="1" t="s">
        <v>82</v>
      </c>
      <c r="H53" s="4" t="s">
        <v>64</v>
      </c>
      <c r="I53" s="4" t="s">
        <v>60</v>
      </c>
      <c r="J53" s="12"/>
    </row>
    <row r="54" spans="1:10" x14ac:dyDescent="0.2">
      <c r="A54" s="4" t="s">
        <v>1297</v>
      </c>
      <c r="B54" s="1">
        <v>9.5</v>
      </c>
      <c r="C54" s="1" t="s">
        <v>36</v>
      </c>
      <c r="D54" s="1" t="str">
        <f>"55/344"</f>
        <v>55/344</v>
      </c>
      <c r="E54" s="1">
        <v>1.8</v>
      </c>
      <c r="F54" s="1" t="s">
        <v>1298</v>
      </c>
      <c r="G54" s="1" t="s">
        <v>1299</v>
      </c>
      <c r="H54" s="4" t="s">
        <v>28</v>
      </c>
      <c r="I54" s="4" t="s">
        <v>369</v>
      </c>
      <c r="J54" s="12"/>
    </row>
    <row r="55" spans="1:10" x14ac:dyDescent="0.2">
      <c r="A55" s="4" t="s">
        <v>712</v>
      </c>
      <c r="B55" s="1">
        <v>9.4</v>
      </c>
      <c r="C55" s="1" t="s">
        <v>36</v>
      </c>
      <c r="D55" s="1" t="str">
        <f>"21/160"</f>
        <v>21/160</v>
      </c>
      <c r="E55" s="1">
        <v>3.3</v>
      </c>
      <c r="F55" s="1" t="s">
        <v>713</v>
      </c>
      <c r="G55" s="1" t="s">
        <v>713</v>
      </c>
      <c r="H55" s="4" t="s">
        <v>59</v>
      </c>
      <c r="I55" s="4" t="s">
        <v>60</v>
      </c>
      <c r="J55" s="12"/>
    </row>
    <row r="56" spans="1:10" x14ac:dyDescent="0.2">
      <c r="A56" s="4" t="s">
        <v>1278</v>
      </c>
      <c r="B56" s="1">
        <v>9.4</v>
      </c>
      <c r="C56" s="1" t="s">
        <v>36</v>
      </c>
      <c r="D56" s="1" t="str">
        <f>"3/79"</f>
        <v>3/79</v>
      </c>
      <c r="E56" s="1">
        <v>2</v>
      </c>
      <c r="F56" s="1" t="s">
        <v>1279</v>
      </c>
      <c r="G56" s="1" t="s">
        <v>1280</v>
      </c>
      <c r="H56" s="4" t="s">
        <v>28</v>
      </c>
      <c r="I56" s="4" t="s">
        <v>44</v>
      </c>
      <c r="J56" s="12"/>
    </row>
    <row r="57" spans="1:10" x14ac:dyDescent="0.2">
      <c r="A57" s="4" t="s">
        <v>457</v>
      </c>
      <c r="B57" s="1">
        <v>9.3000000000000007</v>
      </c>
      <c r="C57" s="1" t="s">
        <v>36</v>
      </c>
      <c r="D57" s="1" t="str">
        <f>"20/119"</f>
        <v>20/119</v>
      </c>
      <c r="E57" s="1">
        <v>2.1</v>
      </c>
      <c r="F57" s="1" t="s">
        <v>458</v>
      </c>
      <c r="G57" s="1" t="s">
        <v>458</v>
      </c>
      <c r="H57" s="4" t="s">
        <v>21</v>
      </c>
      <c r="I57" s="4" t="s">
        <v>272</v>
      </c>
      <c r="J57" s="12"/>
    </row>
    <row r="58" spans="1:10" x14ac:dyDescent="0.2">
      <c r="A58" s="4" t="s">
        <v>670</v>
      </c>
      <c r="B58" s="1">
        <v>9.1999999999999993</v>
      </c>
      <c r="C58" s="1" t="s">
        <v>36</v>
      </c>
      <c r="D58" s="1" t="str">
        <f>"4/30"</f>
        <v>4/30</v>
      </c>
      <c r="E58" s="1">
        <v>1.8</v>
      </c>
      <c r="F58" s="1" t="s">
        <v>671</v>
      </c>
      <c r="G58" s="1" t="s">
        <v>672</v>
      </c>
      <c r="H58" s="4" t="s">
        <v>64</v>
      </c>
      <c r="I58" s="4" t="s">
        <v>60</v>
      </c>
      <c r="J58" s="12"/>
    </row>
    <row r="59" spans="1:10" x14ac:dyDescent="0.2">
      <c r="A59" s="4" t="s">
        <v>1072</v>
      </c>
      <c r="B59" s="1">
        <v>9.1</v>
      </c>
      <c r="C59" s="1" t="s">
        <v>36</v>
      </c>
      <c r="D59" s="1" t="str">
        <f>"4/28"</f>
        <v>4/28</v>
      </c>
      <c r="E59" s="1">
        <v>2.1</v>
      </c>
      <c r="F59" s="1" t="s">
        <v>1073</v>
      </c>
      <c r="G59" s="1" t="s">
        <v>1074</v>
      </c>
      <c r="H59" s="4" t="s">
        <v>21</v>
      </c>
      <c r="I59" s="4" t="s">
        <v>272</v>
      </c>
      <c r="J59" s="12"/>
    </row>
    <row r="60" spans="1:10" x14ac:dyDescent="0.2">
      <c r="A60" s="4" t="s">
        <v>1177</v>
      </c>
      <c r="B60" s="1">
        <v>9</v>
      </c>
      <c r="C60" s="1" t="s">
        <v>36</v>
      </c>
      <c r="D60" s="1" t="str">
        <f>"11/96"</f>
        <v>11/96</v>
      </c>
      <c r="E60" s="1">
        <v>2.2999999999999998</v>
      </c>
      <c r="F60" s="1" t="s">
        <v>1178</v>
      </c>
      <c r="G60" s="1" t="s">
        <v>1179</v>
      </c>
      <c r="H60" s="4" t="s">
        <v>21</v>
      </c>
      <c r="I60" s="4" t="s">
        <v>90</v>
      </c>
      <c r="J60" s="12"/>
    </row>
    <row r="61" spans="1:10" x14ac:dyDescent="0.2">
      <c r="A61" s="4" t="s">
        <v>1234</v>
      </c>
      <c r="B61" s="1">
        <v>9</v>
      </c>
      <c r="C61" s="1" t="s">
        <v>36</v>
      </c>
      <c r="D61" s="1" t="str">
        <f>"10/100"</f>
        <v>10/100</v>
      </c>
      <c r="E61" s="1">
        <v>1.6</v>
      </c>
      <c r="F61" s="1" t="s">
        <v>1235</v>
      </c>
      <c r="G61" s="1" t="s">
        <v>1235</v>
      </c>
      <c r="H61" s="4" t="s">
        <v>10</v>
      </c>
      <c r="I61" s="4" t="s">
        <v>116</v>
      </c>
      <c r="J61" s="12"/>
    </row>
    <row r="62" spans="1:10" x14ac:dyDescent="0.2">
      <c r="A62" s="4" t="s">
        <v>1132</v>
      </c>
      <c r="B62" s="1">
        <v>8.9</v>
      </c>
      <c r="C62" s="1" t="s">
        <v>36</v>
      </c>
      <c r="D62" s="1" t="str">
        <f>"8/85"</f>
        <v>8/85</v>
      </c>
      <c r="E62" s="1">
        <v>2</v>
      </c>
      <c r="F62" s="1" t="s">
        <v>9</v>
      </c>
      <c r="G62" s="1" t="s">
        <v>1133</v>
      </c>
      <c r="H62" s="4" t="s">
        <v>28</v>
      </c>
      <c r="I62" s="4" t="s">
        <v>443</v>
      </c>
      <c r="J62" s="12"/>
    </row>
    <row r="63" spans="1:10" x14ac:dyDescent="0.2">
      <c r="A63" s="4" t="s">
        <v>217</v>
      </c>
      <c r="B63" s="1">
        <v>8.8000000000000007</v>
      </c>
      <c r="C63" s="1" t="s">
        <v>36</v>
      </c>
      <c r="D63" s="1" t="str">
        <f>"4/79"</f>
        <v>4/79</v>
      </c>
      <c r="E63" s="1">
        <v>1.5</v>
      </c>
      <c r="F63" s="1" t="s">
        <v>218</v>
      </c>
      <c r="G63" s="1" t="s">
        <v>219</v>
      </c>
      <c r="H63" s="4" t="s">
        <v>59</v>
      </c>
      <c r="I63" s="4" t="s">
        <v>220</v>
      </c>
      <c r="J63" s="12"/>
    </row>
    <row r="64" spans="1:10" x14ac:dyDescent="0.2">
      <c r="A64" s="4" t="s">
        <v>1078</v>
      </c>
      <c r="B64" s="1">
        <v>8.6999999999999993</v>
      </c>
      <c r="C64" s="1" t="s">
        <v>36</v>
      </c>
      <c r="D64" s="1" t="str">
        <f>"5/28"</f>
        <v>5/28</v>
      </c>
      <c r="E64" s="1">
        <v>2</v>
      </c>
      <c r="F64" s="1" t="s">
        <v>1079</v>
      </c>
      <c r="G64" s="1" t="s">
        <v>1080</v>
      </c>
      <c r="H64" s="4" t="s">
        <v>21</v>
      </c>
      <c r="I64" s="4" t="s">
        <v>272</v>
      </c>
      <c r="J64" s="12"/>
    </row>
    <row r="65" spans="1:10" x14ac:dyDescent="0.2">
      <c r="A65" s="4" t="s">
        <v>1103</v>
      </c>
      <c r="B65" s="1">
        <v>8.6</v>
      </c>
      <c r="C65" s="1" t="s">
        <v>36</v>
      </c>
      <c r="D65" s="1" t="str">
        <f>"63/344"</f>
        <v>63/344</v>
      </c>
      <c r="E65" s="1">
        <v>1.7</v>
      </c>
      <c r="F65" s="1" t="s">
        <v>1104</v>
      </c>
      <c r="G65" s="1" t="s">
        <v>1105</v>
      </c>
      <c r="H65" s="4" t="s">
        <v>28</v>
      </c>
      <c r="I65" s="4" t="s">
        <v>369</v>
      </c>
      <c r="J65" s="12"/>
    </row>
    <row r="66" spans="1:10" x14ac:dyDescent="0.2">
      <c r="A66" s="4" t="s">
        <v>545</v>
      </c>
      <c r="B66" s="1">
        <v>8.4</v>
      </c>
      <c r="C66" s="1" t="s">
        <v>36</v>
      </c>
      <c r="D66" s="1" t="str">
        <f>"65/344"</f>
        <v>65/344</v>
      </c>
      <c r="E66" s="1">
        <v>1.6</v>
      </c>
      <c r="F66" s="1" t="s">
        <v>546</v>
      </c>
      <c r="G66" s="1" t="s">
        <v>547</v>
      </c>
      <c r="H66" s="4" t="s">
        <v>21</v>
      </c>
      <c r="I66" s="4" t="s">
        <v>272</v>
      </c>
      <c r="J66" s="12"/>
    </row>
    <row r="67" spans="1:10" x14ac:dyDescent="0.2">
      <c r="A67" s="4" t="s">
        <v>914</v>
      </c>
      <c r="B67" s="1">
        <v>8.4</v>
      </c>
      <c r="C67" s="1" t="s">
        <v>36</v>
      </c>
      <c r="D67" s="1" t="str">
        <f>"12/96"</f>
        <v>12/96</v>
      </c>
      <c r="E67" s="1">
        <v>1.6</v>
      </c>
      <c r="F67" s="1" t="s">
        <v>915</v>
      </c>
      <c r="G67" s="1" t="s">
        <v>916</v>
      </c>
      <c r="H67" s="4" t="s">
        <v>917</v>
      </c>
      <c r="I67" s="4" t="s">
        <v>918</v>
      </c>
      <c r="J67" s="12"/>
    </row>
    <row r="68" spans="1:10" x14ac:dyDescent="0.2">
      <c r="A68" s="4" t="s">
        <v>506</v>
      </c>
      <c r="B68" s="1">
        <v>8.3000000000000007</v>
      </c>
      <c r="C68" s="1" t="s">
        <v>36</v>
      </c>
      <c r="D68" s="1" t="str">
        <f>"66/344"</f>
        <v>66/344</v>
      </c>
      <c r="E68" s="1">
        <v>2.9</v>
      </c>
      <c r="F68" s="1" t="s">
        <v>507</v>
      </c>
      <c r="G68" s="1" t="s">
        <v>507</v>
      </c>
      <c r="H68" s="4" t="s">
        <v>28</v>
      </c>
      <c r="I68" s="4" t="s">
        <v>133</v>
      </c>
      <c r="J68" s="12"/>
    </row>
    <row r="69" spans="1:10" x14ac:dyDescent="0.2">
      <c r="A69" s="4" t="s">
        <v>1053</v>
      </c>
      <c r="B69" s="1">
        <v>8.3000000000000007</v>
      </c>
      <c r="C69" s="1" t="s">
        <v>36</v>
      </c>
      <c r="D69" s="1" t="str">
        <f>"5/79"</f>
        <v>5/79</v>
      </c>
      <c r="E69" s="1">
        <v>1.7</v>
      </c>
      <c r="F69" s="1" t="s">
        <v>1054</v>
      </c>
      <c r="G69" s="1" t="s">
        <v>1055</v>
      </c>
      <c r="H69" s="4" t="s">
        <v>21</v>
      </c>
      <c r="I69" s="4" t="s">
        <v>44</v>
      </c>
      <c r="J69" s="12"/>
    </row>
    <row r="70" spans="1:10" x14ac:dyDescent="0.2">
      <c r="A70" s="4" t="s">
        <v>1199</v>
      </c>
      <c r="B70" s="1">
        <v>8.3000000000000007</v>
      </c>
      <c r="C70" s="1" t="s">
        <v>36</v>
      </c>
      <c r="D70" s="1" t="str">
        <f>"66/344"</f>
        <v>66/344</v>
      </c>
      <c r="E70" s="1">
        <v>2.4</v>
      </c>
      <c r="F70" s="1" t="s">
        <v>1200</v>
      </c>
      <c r="G70" s="1" t="s">
        <v>1200</v>
      </c>
      <c r="H70" s="4" t="s">
        <v>64</v>
      </c>
      <c r="I70" s="4" t="s">
        <v>60</v>
      </c>
      <c r="J70" s="12"/>
    </row>
    <row r="71" spans="1:10" x14ac:dyDescent="0.2">
      <c r="A71" s="4" t="s">
        <v>463</v>
      </c>
      <c r="B71" s="1">
        <v>8.1999999999999993</v>
      </c>
      <c r="C71" s="1" t="s">
        <v>36</v>
      </c>
      <c r="D71" s="1" t="str">
        <f>"13/96"</f>
        <v>13/96</v>
      </c>
      <c r="E71" s="1">
        <v>2.2000000000000002</v>
      </c>
      <c r="F71" s="1" t="s">
        <v>464</v>
      </c>
      <c r="G71" s="1" t="s">
        <v>464</v>
      </c>
      <c r="H71" s="4" t="s">
        <v>21</v>
      </c>
      <c r="I71" s="4" t="s">
        <v>60</v>
      </c>
      <c r="J71" s="12"/>
    </row>
    <row r="72" spans="1:10" x14ac:dyDescent="0.2">
      <c r="A72" s="4" t="s">
        <v>164</v>
      </c>
      <c r="B72" s="1">
        <v>8.1</v>
      </c>
      <c r="C72" s="1" t="s">
        <v>36</v>
      </c>
      <c r="D72" s="1" t="str">
        <f>"69/344"</f>
        <v>69/344</v>
      </c>
      <c r="E72" s="1">
        <v>1.6</v>
      </c>
      <c r="F72" s="1" t="s">
        <v>165</v>
      </c>
      <c r="G72" s="1" t="s">
        <v>166</v>
      </c>
      <c r="H72" s="4" t="s">
        <v>59</v>
      </c>
      <c r="I72" s="4" t="s">
        <v>167</v>
      </c>
      <c r="J72" s="12"/>
    </row>
    <row r="73" spans="1:10" x14ac:dyDescent="0.2">
      <c r="A73" s="4" t="s">
        <v>659</v>
      </c>
      <c r="B73" s="1">
        <v>8</v>
      </c>
      <c r="C73" s="1" t="s">
        <v>36</v>
      </c>
      <c r="D73" s="1" t="str">
        <f>"70/344"</f>
        <v>70/344</v>
      </c>
      <c r="E73" s="1">
        <v>2.5</v>
      </c>
      <c r="F73" s="1" t="s">
        <v>660</v>
      </c>
      <c r="G73" s="1" t="s">
        <v>661</v>
      </c>
      <c r="H73" s="4" t="s">
        <v>662</v>
      </c>
      <c r="I73" s="4" t="s">
        <v>663</v>
      </c>
      <c r="J73" s="12"/>
    </row>
    <row r="74" spans="1:10" x14ac:dyDescent="0.2">
      <c r="A74" s="4" t="s">
        <v>1081</v>
      </c>
      <c r="B74" s="1">
        <v>8</v>
      </c>
      <c r="C74" s="1" t="s">
        <v>36</v>
      </c>
      <c r="D74" s="1" t="str">
        <f>"6/28"</f>
        <v>6/28</v>
      </c>
      <c r="E74" s="1">
        <v>1.7</v>
      </c>
      <c r="F74" s="1" t="s">
        <v>1082</v>
      </c>
      <c r="G74" s="1" t="s">
        <v>1082</v>
      </c>
      <c r="H74" s="4" t="s">
        <v>21</v>
      </c>
      <c r="I74" s="4" t="s">
        <v>272</v>
      </c>
      <c r="J74" s="12"/>
    </row>
    <row r="75" spans="1:10" x14ac:dyDescent="0.2">
      <c r="A75" s="4" t="s">
        <v>122</v>
      </c>
      <c r="B75" s="1">
        <v>7.9</v>
      </c>
      <c r="C75" s="1" t="s">
        <v>36</v>
      </c>
      <c r="D75" s="1" t="str">
        <f>"71/344"</f>
        <v>71/344</v>
      </c>
      <c r="E75" s="1">
        <v>1.3</v>
      </c>
      <c r="F75" s="1" t="s">
        <v>123</v>
      </c>
      <c r="G75" s="1" t="s">
        <v>123</v>
      </c>
      <c r="H75" s="4" t="s">
        <v>10</v>
      </c>
      <c r="I75" s="4" t="s">
        <v>116</v>
      </c>
      <c r="J75" s="12"/>
    </row>
    <row r="76" spans="1:10" x14ac:dyDescent="0.2">
      <c r="A76" s="4" t="s">
        <v>451</v>
      </c>
      <c r="B76" s="1">
        <v>7.8</v>
      </c>
      <c r="C76" s="1" t="s">
        <v>36</v>
      </c>
      <c r="D76" s="1" t="str">
        <f>"72/344"</f>
        <v>72/344</v>
      </c>
      <c r="E76" s="1">
        <v>1.3</v>
      </c>
      <c r="F76" s="1" t="s">
        <v>452</v>
      </c>
      <c r="G76" s="1" t="s">
        <v>452</v>
      </c>
      <c r="H76" s="4" t="s">
        <v>21</v>
      </c>
      <c r="I76" s="4" t="s">
        <v>60</v>
      </c>
      <c r="J76" s="12"/>
    </row>
    <row r="77" spans="1:10" x14ac:dyDescent="0.2">
      <c r="A77" s="4" t="s">
        <v>345</v>
      </c>
      <c r="B77" s="1">
        <v>7.4</v>
      </c>
      <c r="C77" s="1" t="s">
        <v>36</v>
      </c>
      <c r="D77" s="1" t="str">
        <f>"24/160"</f>
        <v>24/160</v>
      </c>
      <c r="E77" s="1">
        <v>3</v>
      </c>
      <c r="F77" s="1" t="s">
        <v>346</v>
      </c>
      <c r="G77" s="1" t="s">
        <v>347</v>
      </c>
      <c r="H77" s="4" t="s">
        <v>10</v>
      </c>
      <c r="I77" s="4" t="s">
        <v>177</v>
      </c>
      <c r="J77" s="12"/>
    </row>
    <row r="78" spans="1:10" x14ac:dyDescent="0.2">
      <c r="A78" s="4" t="s">
        <v>1066</v>
      </c>
      <c r="B78" s="1">
        <v>7.4</v>
      </c>
      <c r="C78" s="1" t="s">
        <v>36</v>
      </c>
      <c r="D78" s="1" t="str">
        <f>"6/139"</f>
        <v>6/139</v>
      </c>
      <c r="E78" s="1">
        <v>1.7</v>
      </c>
      <c r="F78" s="1" t="s">
        <v>1067</v>
      </c>
      <c r="G78" s="1" t="s">
        <v>1068</v>
      </c>
      <c r="H78" s="4" t="s">
        <v>21</v>
      </c>
      <c r="I78" s="4" t="s">
        <v>272</v>
      </c>
      <c r="J78" s="12"/>
    </row>
    <row r="79" spans="1:10" x14ac:dyDescent="0.2">
      <c r="A79" s="4" t="s">
        <v>461</v>
      </c>
      <c r="B79" s="1">
        <v>7.3</v>
      </c>
      <c r="C79" s="1" t="s">
        <v>36</v>
      </c>
      <c r="D79" s="1" t="str">
        <f>"76/344"</f>
        <v>76/344</v>
      </c>
      <c r="E79" s="1">
        <v>1.7</v>
      </c>
      <c r="F79" s="1" t="s">
        <v>462</v>
      </c>
      <c r="G79" s="1" t="s">
        <v>462</v>
      </c>
      <c r="H79" s="4" t="s">
        <v>21</v>
      </c>
      <c r="I79" s="4" t="s">
        <v>272</v>
      </c>
      <c r="J79" s="12"/>
    </row>
    <row r="80" spans="1:10" x14ac:dyDescent="0.2">
      <c r="A80" s="4" t="s">
        <v>1232</v>
      </c>
      <c r="B80" s="1">
        <v>7.1</v>
      </c>
      <c r="C80" s="1" t="s">
        <v>36</v>
      </c>
      <c r="D80" s="1" t="str">
        <f>"77/344"</f>
        <v>77/344</v>
      </c>
      <c r="E80" s="1">
        <v>1.8</v>
      </c>
      <c r="F80" s="1" t="s">
        <v>1233</v>
      </c>
      <c r="G80" s="1" t="s">
        <v>1233</v>
      </c>
      <c r="H80" s="4" t="s">
        <v>10</v>
      </c>
      <c r="I80" s="4" t="s">
        <v>116</v>
      </c>
      <c r="J80" s="12"/>
    </row>
    <row r="81" spans="1:10" x14ac:dyDescent="0.2">
      <c r="A81" s="4" t="s">
        <v>525</v>
      </c>
      <c r="B81" s="1">
        <v>7</v>
      </c>
      <c r="C81" s="1" t="s">
        <v>36</v>
      </c>
      <c r="D81" s="1" t="str">
        <f>"78/344"</f>
        <v>78/344</v>
      </c>
      <c r="E81" s="1">
        <v>1.2</v>
      </c>
      <c r="F81" s="1" t="s">
        <v>9</v>
      </c>
      <c r="G81" s="1" t="s">
        <v>526</v>
      </c>
      <c r="H81" s="4" t="s">
        <v>59</v>
      </c>
      <c r="I81" s="4" t="s">
        <v>85</v>
      </c>
      <c r="J81" s="12"/>
    </row>
    <row r="82" spans="1:10" x14ac:dyDescent="0.2">
      <c r="A82" s="4" t="s">
        <v>745</v>
      </c>
      <c r="B82" s="1">
        <v>7</v>
      </c>
      <c r="C82" s="1" t="s">
        <v>36</v>
      </c>
      <c r="D82" s="1" t="str">
        <f>"10/45"</f>
        <v>10/45</v>
      </c>
      <c r="E82" s="1">
        <v>1.2</v>
      </c>
      <c r="F82" s="1" t="s">
        <v>746</v>
      </c>
      <c r="G82" s="1" t="s">
        <v>747</v>
      </c>
      <c r="H82" s="4" t="s">
        <v>21</v>
      </c>
      <c r="I82" s="4" t="s">
        <v>85</v>
      </c>
      <c r="J82" s="12"/>
    </row>
    <row r="83" spans="1:10" x14ac:dyDescent="0.2">
      <c r="A83" s="4" t="s">
        <v>124</v>
      </c>
      <c r="B83" s="1">
        <v>6.9</v>
      </c>
      <c r="C83" s="1" t="s">
        <v>36</v>
      </c>
      <c r="D83" s="1" t="str">
        <f>"26/160"</f>
        <v>26/160</v>
      </c>
      <c r="E83" s="1">
        <v>2.2999999999999998</v>
      </c>
      <c r="F83" s="1" t="s">
        <v>125</v>
      </c>
      <c r="G83" s="1" t="s">
        <v>126</v>
      </c>
      <c r="H83" s="4" t="s">
        <v>64</v>
      </c>
      <c r="I83" s="4" t="s">
        <v>60</v>
      </c>
      <c r="J83" s="12"/>
    </row>
    <row r="84" spans="1:10" x14ac:dyDescent="0.2">
      <c r="A84" s="4" t="s">
        <v>681</v>
      </c>
      <c r="B84" s="1">
        <v>6.9</v>
      </c>
      <c r="C84" s="1" t="s">
        <v>36</v>
      </c>
      <c r="D84" s="1" t="str">
        <f>"80/344"</f>
        <v>80/344</v>
      </c>
      <c r="E84" s="1">
        <v>1.3</v>
      </c>
      <c r="F84" s="1" t="s">
        <v>682</v>
      </c>
      <c r="G84" s="1" t="s">
        <v>682</v>
      </c>
      <c r="H84" s="4" t="s">
        <v>21</v>
      </c>
      <c r="I84" s="4" t="s">
        <v>90</v>
      </c>
      <c r="J84" s="12"/>
    </row>
    <row r="85" spans="1:10" x14ac:dyDescent="0.2">
      <c r="A85" s="4" t="s">
        <v>1236</v>
      </c>
      <c r="B85" s="1">
        <v>6.8</v>
      </c>
      <c r="C85" s="1" t="s">
        <v>36</v>
      </c>
      <c r="D85" s="1" t="str">
        <f>"82/344"</f>
        <v>82/344</v>
      </c>
      <c r="E85" s="1">
        <v>1.1000000000000001</v>
      </c>
      <c r="F85" s="1" t="s">
        <v>1237</v>
      </c>
      <c r="G85" s="1" t="s">
        <v>1237</v>
      </c>
      <c r="H85" s="4" t="s">
        <v>28</v>
      </c>
      <c r="I85" s="4" t="s">
        <v>112</v>
      </c>
      <c r="J85" s="12"/>
    </row>
    <row r="86" spans="1:10" x14ac:dyDescent="0.2">
      <c r="A86" s="4" t="s">
        <v>205</v>
      </c>
      <c r="B86" s="1">
        <v>6.7</v>
      </c>
      <c r="C86" s="1" t="s">
        <v>36</v>
      </c>
      <c r="D86" s="1" t="str">
        <f>"11/45"</f>
        <v>11/45</v>
      </c>
      <c r="E86" s="1">
        <v>1.6</v>
      </c>
      <c r="F86" s="1" t="s">
        <v>206</v>
      </c>
      <c r="G86" s="1" t="s">
        <v>207</v>
      </c>
      <c r="H86" s="4" t="s">
        <v>59</v>
      </c>
      <c r="I86" s="4" t="s">
        <v>208</v>
      </c>
      <c r="J86" s="12"/>
    </row>
    <row r="87" spans="1:10" x14ac:dyDescent="0.2">
      <c r="A87" s="4" t="s">
        <v>1196</v>
      </c>
      <c r="B87" s="1">
        <v>6.7</v>
      </c>
      <c r="C87" s="1" t="s">
        <v>36</v>
      </c>
      <c r="D87" s="1" t="str">
        <f>"1/21"</f>
        <v>1/21</v>
      </c>
      <c r="E87" s="1">
        <v>1.5</v>
      </c>
      <c r="F87" s="1" t="s">
        <v>1197</v>
      </c>
      <c r="G87" s="1" t="s">
        <v>1198</v>
      </c>
      <c r="H87" s="4" t="s">
        <v>64</v>
      </c>
      <c r="I87" s="4" t="s">
        <v>60</v>
      </c>
      <c r="J87" s="12"/>
    </row>
    <row r="88" spans="1:10" x14ac:dyDescent="0.2">
      <c r="A88" s="4" t="s">
        <v>236</v>
      </c>
      <c r="B88" s="1">
        <v>6.6</v>
      </c>
      <c r="C88" s="1" t="s">
        <v>36</v>
      </c>
      <c r="D88" s="1" t="str">
        <f>"2/21"</f>
        <v>2/21</v>
      </c>
      <c r="E88" s="1">
        <v>1.5</v>
      </c>
      <c r="F88" s="1" t="s">
        <v>237</v>
      </c>
      <c r="G88" s="1" t="s">
        <v>238</v>
      </c>
      <c r="H88" s="4" t="s">
        <v>39</v>
      </c>
      <c r="I88" s="4" t="s">
        <v>40</v>
      </c>
      <c r="J88" s="12"/>
    </row>
    <row r="89" spans="1:10" x14ac:dyDescent="0.2">
      <c r="A89" s="4" t="s">
        <v>1161</v>
      </c>
      <c r="B89" s="1">
        <v>6.6</v>
      </c>
      <c r="C89" s="1" t="s">
        <v>18</v>
      </c>
      <c r="D89" s="1" t="str">
        <f>"12/45"</f>
        <v>12/45</v>
      </c>
      <c r="E89" s="1">
        <v>1</v>
      </c>
      <c r="F89" s="1" t="s">
        <v>1162</v>
      </c>
      <c r="G89" s="1" t="s">
        <v>1163</v>
      </c>
      <c r="H89" s="4" t="s">
        <v>21</v>
      </c>
      <c r="I89" s="4" t="s">
        <v>85</v>
      </c>
      <c r="J89" s="12"/>
    </row>
    <row r="90" spans="1:10" ht="28.5" x14ac:dyDescent="0.2">
      <c r="A90" s="4" t="s">
        <v>493</v>
      </c>
      <c r="B90" s="1">
        <v>6.4</v>
      </c>
      <c r="C90" s="1" t="s">
        <v>36</v>
      </c>
      <c r="D90" s="1" t="str">
        <f>"6/79"</f>
        <v>6/79</v>
      </c>
      <c r="E90" s="1">
        <v>1.5</v>
      </c>
      <c r="F90" s="1" t="s">
        <v>494</v>
      </c>
      <c r="G90" s="1" t="s">
        <v>495</v>
      </c>
      <c r="H90" s="4" t="s">
        <v>39</v>
      </c>
      <c r="I90" s="4" t="s">
        <v>40</v>
      </c>
      <c r="J90" s="12"/>
    </row>
    <row r="91" spans="1:10" x14ac:dyDescent="0.2">
      <c r="A91" s="4" t="s">
        <v>727</v>
      </c>
      <c r="B91" s="1">
        <v>6.4</v>
      </c>
      <c r="C91" s="1" t="s">
        <v>36</v>
      </c>
      <c r="D91" s="1" t="str">
        <f>"6/79"</f>
        <v>6/79</v>
      </c>
      <c r="E91" s="1">
        <v>1.5</v>
      </c>
      <c r="F91" s="1" t="s">
        <v>728</v>
      </c>
      <c r="G91" s="1" t="s">
        <v>729</v>
      </c>
      <c r="H91" s="4" t="s">
        <v>120</v>
      </c>
      <c r="I91" s="4" t="s">
        <v>60</v>
      </c>
      <c r="J91" s="12"/>
    </row>
    <row r="92" spans="1:10" x14ac:dyDescent="0.2">
      <c r="A92" s="4" t="s">
        <v>742</v>
      </c>
      <c r="B92" s="1">
        <v>6.4</v>
      </c>
      <c r="C92" s="1" t="s">
        <v>36</v>
      </c>
      <c r="D92" s="1" t="str">
        <f>"32/160"</f>
        <v>32/160</v>
      </c>
      <c r="E92" s="1">
        <v>1.3</v>
      </c>
      <c r="F92" s="1" t="s">
        <v>743</v>
      </c>
      <c r="G92" s="1" t="s">
        <v>744</v>
      </c>
      <c r="H92" s="4" t="s">
        <v>21</v>
      </c>
      <c r="I92" s="4" t="s">
        <v>85</v>
      </c>
      <c r="J92" s="12"/>
    </row>
    <row r="93" spans="1:10" x14ac:dyDescent="0.2">
      <c r="A93" s="4" t="s">
        <v>1300</v>
      </c>
      <c r="B93" s="1">
        <v>6.4</v>
      </c>
      <c r="C93" s="1" t="s">
        <v>36</v>
      </c>
      <c r="D93" s="1" t="str">
        <f>"86/344"</f>
        <v>86/344</v>
      </c>
      <c r="E93" s="1">
        <v>1.2</v>
      </c>
      <c r="F93" s="1" t="s">
        <v>1301</v>
      </c>
      <c r="G93" s="1" t="s">
        <v>9</v>
      </c>
      <c r="H93" s="4" t="s">
        <v>28</v>
      </c>
      <c r="I93" s="4" t="s">
        <v>369</v>
      </c>
      <c r="J93" s="12"/>
    </row>
    <row r="94" spans="1:10" x14ac:dyDescent="0.2">
      <c r="A94" s="4" t="s">
        <v>733</v>
      </c>
      <c r="B94" s="1">
        <v>6.3</v>
      </c>
      <c r="C94" s="1" t="s">
        <v>18</v>
      </c>
      <c r="D94" s="1" t="str">
        <f>"13/50"</f>
        <v>13/50</v>
      </c>
      <c r="E94" s="1">
        <v>2</v>
      </c>
      <c r="F94" s="1" t="s">
        <v>734</v>
      </c>
      <c r="G94" s="1" t="s">
        <v>735</v>
      </c>
      <c r="H94" s="4" t="s">
        <v>39</v>
      </c>
      <c r="I94" s="4" t="s">
        <v>40</v>
      </c>
      <c r="J94" s="12"/>
    </row>
    <row r="95" spans="1:10" x14ac:dyDescent="0.2">
      <c r="A95" s="4" t="s">
        <v>1085</v>
      </c>
      <c r="B95" s="1">
        <v>6.3</v>
      </c>
      <c r="C95" s="1" t="s">
        <v>36</v>
      </c>
      <c r="D95" s="1" t="str">
        <f>"11/137"</f>
        <v>11/137</v>
      </c>
      <c r="E95" s="1">
        <v>1.7</v>
      </c>
      <c r="F95" s="1" t="s">
        <v>1086</v>
      </c>
      <c r="G95" s="1" t="s">
        <v>1087</v>
      </c>
      <c r="H95" s="4" t="s">
        <v>21</v>
      </c>
      <c r="I95" s="4" t="s">
        <v>272</v>
      </c>
      <c r="J95" s="12"/>
    </row>
    <row r="96" spans="1:10" x14ac:dyDescent="0.2">
      <c r="A96" s="4" t="s">
        <v>86</v>
      </c>
      <c r="B96" s="1">
        <v>6.2</v>
      </c>
      <c r="C96" s="1" t="s">
        <v>36</v>
      </c>
      <c r="D96" s="1" t="str">
        <f>"3/21"</f>
        <v>3/21</v>
      </c>
      <c r="E96" s="1">
        <v>1.8</v>
      </c>
      <c r="F96" s="1" t="s">
        <v>87</v>
      </c>
      <c r="G96" s="1" t="s">
        <v>87</v>
      </c>
      <c r="H96" s="4" t="s">
        <v>64</v>
      </c>
      <c r="I96" s="4" t="s">
        <v>60</v>
      </c>
      <c r="J96" s="12"/>
    </row>
    <row r="97" spans="1:10" x14ac:dyDescent="0.2">
      <c r="A97" s="4" t="s">
        <v>839</v>
      </c>
      <c r="B97" s="1">
        <v>6.2</v>
      </c>
      <c r="C97" s="1" t="s">
        <v>36</v>
      </c>
      <c r="D97" s="1" t="str">
        <f>"8/79"</f>
        <v>8/79</v>
      </c>
      <c r="E97" s="1">
        <v>1.7</v>
      </c>
      <c r="F97" s="1" t="s">
        <v>840</v>
      </c>
      <c r="G97" s="1" t="s">
        <v>841</v>
      </c>
      <c r="H97" s="4" t="s">
        <v>39</v>
      </c>
      <c r="I97" s="4" t="s">
        <v>40</v>
      </c>
      <c r="J97" s="12"/>
    </row>
    <row r="98" spans="1:10" x14ac:dyDescent="0.2">
      <c r="A98" s="4" t="s">
        <v>1134</v>
      </c>
      <c r="B98" s="1">
        <v>6.2</v>
      </c>
      <c r="C98" s="1" t="s">
        <v>36</v>
      </c>
      <c r="D98" s="1" t="str">
        <f>"17/139"</f>
        <v>17/139</v>
      </c>
      <c r="E98" s="1">
        <v>2.2000000000000002</v>
      </c>
      <c r="F98" s="1" t="s">
        <v>1135</v>
      </c>
      <c r="G98" s="1" t="s">
        <v>1135</v>
      </c>
      <c r="H98" s="4" t="s">
        <v>21</v>
      </c>
      <c r="I98" s="4" t="s">
        <v>60</v>
      </c>
      <c r="J98" s="12"/>
    </row>
    <row r="99" spans="1:10" x14ac:dyDescent="0.2">
      <c r="A99" s="4" t="s">
        <v>1262</v>
      </c>
      <c r="B99" s="1">
        <v>6.2</v>
      </c>
      <c r="C99" s="1" t="s">
        <v>36</v>
      </c>
      <c r="D99" s="1" t="str">
        <f>"33/160"</f>
        <v>33/160</v>
      </c>
      <c r="E99" s="1">
        <v>1</v>
      </c>
      <c r="F99" s="1" t="s">
        <v>1263</v>
      </c>
      <c r="G99" s="1" t="s">
        <v>1263</v>
      </c>
      <c r="H99" s="4" t="s">
        <v>10</v>
      </c>
      <c r="I99" s="4" t="s">
        <v>112</v>
      </c>
      <c r="J99" s="12"/>
    </row>
    <row r="100" spans="1:10" x14ac:dyDescent="0.2">
      <c r="A100" s="4" t="s">
        <v>1204</v>
      </c>
      <c r="B100" s="1">
        <v>6.1</v>
      </c>
      <c r="C100" s="1" t="s">
        <v>36</v>
      </c>
      <c r="D100" s="1" t="str">
        <f>"35/160"</f>
        <v>35/160</v>
      </c>
      <c r="E100" s="1">
        <v>1.2</v>
      </c>
      <c r="F100" s="1" t="s">
        <v>1205</v>
      </c>
      <c r="G100" s="1" t="s">
        <v>1205</v>
      </c>
      <c r="H100" s="4" t="s">
        <v>28</v>
      </c>
      <c r="I100" s="4" t="s">
        <v>1176</v>
      </c>
      <c r="J100" s="12"/>
    </row>
    <row r="101" spans="1:10" x14ac:dyDescent="0.2">
      <c r="A101" s="4" t="s">
        <v>153</v>
      </c>
      <c r="B101" s="1">
        <v>6</v>
      </c>
      <c r="C101" s="1" t="s">
        <v>36</v>
      </c>
      <c r="D101" s="1" t="str">
        <f>"9/79"</f>
        <v>9/79</v>
      </c>
      <c r="E101" s="1">
        <v>1.3</v>
      </c>
      <c r="F101" s="1" t="s">
        <v>154</v>
      </c>
      <c r="G101" s="1" t="s">
        <v>155</v>
      </c>
      <c r="H101" s="4" t="s">
        <v>28</v>
      </c>
      <c r="I101" s="4" t="s">
        <v>44</v>
      </c>
      <c r="J101" s="12"/>
    </row>
    <row r="102" spans="1:10" x14ac:dyDescent="0.2">
      <c r="A102" s="4" t="s">
        <v>905</v>
      </c>
      <c r="B102" s="1">
        <v>6</v>
      </c>
      <c r="C102" s="1" t="s">
        <v>36</v>
      </c>
      <c r="D102" s="1" t="str">
        <f>"14/136"</f>
        <v>14/136</v>
      </c>
      <c r="E102" s="1">
        <v>1.9</v>
      </c>
      <c r="F102" s="1" t="s">
        <v>906</v>
      </c>
      <c r="G102" s="1" t="s">
        <v>907</v>
      </c>
      <c r="H102" s="4" t="s">
        <v>21</v>
      </c>
      <c r="I102" s="4" t="s">
        <v>272</v>
      </c>
      <c r="J102" s="12"/>
    </row>
    <row r="103" spans="1:10" x14ac:dyDescent="0.2">
      <c r="A103" s="4" t="s">
        <v>1295</v>
      </c>
      <c r="B103" s="1">
        <v>5.9</v>
      </c>
      <c r="C103" s="1" t="s">
        <v>18</v>
      </c>
      <c r="D103" s="1" t="str">
        <f>"98/344"</f>
        <v>98/344</v>
      </c>
      <c r="E103" s="1">
        <v>1.2</v>
      </c>
      <c r="F103" s="1" t="s">
        <v>1296</v>
      </c>
      <c r="G103" s="1" t="s">
        <v>1296</v>
      </c>
      <c r="H103" s="4" t="s">
        <v>28</v>
      </c>
      <c r="I103" s="4" t="s">
        <v>369</v>
      </c>
      <c r="J103" s="12"/>
    </row>
    <row r="104" spans="1:10" x14ac:dyDescent="0.2">
      <c r="A104" s="4" t="s">
        <v>331</v>
      </c>
      <c r="B104" s="1">
        <v>5.7</v>
      </c>
      <c r="C104" s="1" t="s">
        <v>18</v>
      </c>
      <c r="D104" s="1" t="str">
        <f>"99/344"</f>
        <v>99/344</v>
      </c>
      <c r="E104" s="1">
        <v>1.3</v>
      </c>
      <c r="F104" s="1" t="s">
        <v>332</v>
      </c>
      <c r="G104" s="1" t="s">
        <v>333</v>
      </c>
      <c r="H104" s="4" t="s">
        <v>59</v>
      </c>
      <c r="I104" s="4" t="s">
        <v>60</v>
      </c>
      <c r="J104" s="12"/>
    </row>
    <row r="105" spans="1:10" x14ac:dyDescent="0.2">
      <c r="A105" s="4" t="s">
        <v>627</v>
      </c>
      <c r="B105" s="1">
        <v>5.7</v>
      </c>
      <c r="C105" s="1" t="s">
        <v>36</v>
      </c>
      <c r="D105" s="1" t="str">
        <f>"2/29"</f>
        <v>2/29</v>
      </c>
      <c r="E105" s="1">
        <v>1.3</v>
      </c>
      <c r="F105" s="1" t="s">
        <v>628</v>
      </c>
      <c r="G105" s="1" t="s">
        <v>629</v>
      </c>
      <c r="H105" s="4" t="s">
        <v>21</v>
      </c>
      <c r="I105" s="4" t="s">
        <v>272</v>
      </c>
      <c r="J105" s="12"/>
    </row>
    <row r="106" spans="1:10" x14ac:dyDescent="0.2">
      <c r="A106" s="4" t="s">
        <v>1126</v>
      </c>
      <c r="B106" s="1">
        <v>5.7</v>
      </c>
      <c r="C106" s="1" t="s">
        <v>36</v>
      </c>
      <c r="D106" s="1" t="str">
        <f>"1/21"</f>
        <v>1/21</v>
      </c>
      <c r="E106" s="1">
        <v>1.1000000000000001</v>
      </c>
      <c r="F106" s="1" t="s">
        <v>1127</v>
      </c>
      <c r="G106" s="1" t="s">
        <v>1128</v>
      </c>
      <c r="H106" s="4" t="s">
        <v>64</v>
      </c>
      <c r="I106" s="4" t="s">
        <v>108</v>
      </c>
      <c r="J106" s="12"/>
    </row>
    <row r="107" spans="1:10" x14ac:dyDescent="0.2">
      <c r="A107" s="4" t="s">
        <v>1187</v>
      </c>
      <c r="B107" s="1">
        <v>5.7</v>
      </c>
      <c r="C107" s="1" t="s">
        <v>18</v>
      </c>
      <c r="D107" s="1" t="str">
        <f>"9/30"</f>
        <v>9/30</v>
      </c>
      <c r="E107" s="1">
        <v>1.3</v>
      </c>
      <c r="F107" s="1" t="s">
        <v>9</v>
      </c>
      <c r="G107" s="1" t="s">
        <v>1188</v>
      </c>
      <c r="H107" s="4" t="s">
        <v>10</v>
      </c>
      <c r="I107" s="4" t="s">
        <v>116</v>
      </c>
      <c r="J107" s="12"/>
    </row>
    <row r="108" spans="1:10" x14ac:dyDescent="0.2">
      <c r="A108" s="4" t="s">
        <v>1219</v>
      </c>
      <c r="B108" s="1">
        <v>5.7</v>
      </c>
      <c r="C108" s="1" t="s">
        <v>18</v>
      </c>
      <c r="D108" s="1" t="str">
        <f>"99/344"</f>
        <v>99/344</v>
      </c>
      <c r="E108" s="1">
        <v>0.9</v>
      </c>
      <c r="F108" s="1" t="s">
        <v>1220</v>
      </c>
      <c r="G108" s="1" t="s">
        <v>1221</v>
      </c>
      <c r="H108" s="4" t="s">
        <v>404</v>
      </c>
      <c r="I108" s="4" t="s">
        <v>1222</v>
      </c>
      <c r="J108" s="12"/>
    </row>
    <row r="109" spans="1:10" x14ac:dyDescent="0.2">
      <c r="A109" s="4" t="s">
        <v>1291</v>
      </c>
      <c r="B109" s="1">
        <v>5.7</v>
      </c>
      <c r="C109" s="1" t="s">
        <v>18</v>
      </c>
      <c r="D109" s="1" t="str">
        <f>"16/45"</f>
        <v>16/45</v>
      </c>
      <c r="E109" s="1">
        <v>1.1000000000000001</v>
      </c>
      <c r="F109" s="1" t="s">
        <v>1292</v>
      </c>
      <c r="G109" s="1" t="s">
        <v>1292</v>
      </c>
      <c r="H109" s="4" t="s">
        <v>28</v>
      </c>
      <c r="I109" s="4" t="s">
        <v>369</v>
      </c>
      <c r="J109" s="12"/>
    </row>
    <row r="110" spans="1:10" x14ac:dyDescent="0.2">
      <c r="A110" s="4" t="s">
        <v>83</v>
      </c>
      <c r="B110" s="1">
        <v>5.6</v>
      </c>
      <c r="C110" s="1" t="s">
        <v>18</v>
      </c>
      <c r="D110" s="1" t="str">
        <f>"104/344"</f>
        <v>104/344</v>
      </c>
      <c r="E110" s="1">
        <v>0.9</v>
      </c>
      <c r="F110" s="1" t="s">
        <v>84</v>
      </c>
      <c r="G110" s="1" t="s">
        <v>84</v>
      </c>
      <c r="H110" s="4" t="s">
        <v>21</v>
      </c>
      <c r="I110" s="4" t="s">
        <v>85</v>
      </c>
      <c r="J110" s="12"/>
    </row>
    <row r="111" spans="1:10" x14ac:dyDescent="0.2">
      <c r="A111" s="4" t="s">
        <v>171</v>
      </c>
      <c r="B111" s="1">
        <v>5.5</v>
      </c>
      <c r="C111" s="1" t="s">
        <v>18</v>
      </c>
      <c r="D111" s="1" t="str">
        <f>"106/344"</f>
        <v>106/344</v>
      </c>
      <c r="E111" s="1">
        <v>2</v>
      </c>
      <c r="F111" s="1" t="s">
        <v>172</v>
      </c>
      <c r="G111" s="1" t="s">
        <v>173</v>
      </c>
      <c r="H111" s="4" t="s">
        <v>72</v>
      </c>
      <c r="I111" s="4" t="s">
        <v>22</v>
      </c>
      <c r="J111" s="12"/>
    </row>
    <row r="112" spans="1:10" x14ac:dyDescent="0.2">
      <c r="A112" s="4" t="s">
        <v>1313</v>
      </c>
      <c r="B112" s="1">
        <v>5.5</v>
      </c>
      <c r="C112" s="1" t="s">
        <v>18</v>
      </c>
      <c r="D112" s="1" t="str">
        <f>"106/344"</f>
        <v>106/344</v>
      </c>
      <c r="E112" s="1">
        <v>1.9</v>
      </c>
      <c r="F112" s="1" t="s">
        <v>1314</v>
      </c>
      <c r="G112" s="1" t="s">
        <v>1314</v>
      </c>
      <c r="H112" s="4" t="s">
        <v>21</v>
      </c>
      <c r="I112" s="4" t="s">
        <v>90</v>
      </c>
      <c r="J112" s="12"/>
    </row>
    <row r="113" spans="1:10" x14ac:dyDescent="0.2">
      <c r="A113" s="4" t="s">
        <v>101</v>
      </c>
      <c r="B113" s="1">
        <v>5.4</v>
      </c>
      <c r="C113" s="1" t="s">
        <v>36</v>
      </c>
      <c r="D113" s="1" t="str">
        <f>"4/21"</f>
        <v>4/21</v>
      </c>
      <c r="E113" s="1">
        <v>1.3</v>
      </c>
      <c r="F113" s="1" t="s">
        <v>102</v>
      </c>
      <c r="G113" s="1" t="s">
        <v>103</v>
      </c>
      <c r="H113" s="4" t="s">
        <v>39</v>
      </c>
      <c r="I113" s="4" t="s">
        <v>40</v>
      </c>
      <c r="J113" s="12"/>
    </row>
    <row r="114" spans="1:10" x14ac:dyDescent="0.2">
      <c r="A114" s="4" t="s">
        <v>510</v>
      </c>
      <c r="B114" s="1">
        <v>5.4</v>
      </c>
      <c r="C114" s="1" t="s">
        <v>18</v>
      </c>
      <c r="D114" s="1" t="str">
        <f>"108/344"</f>
        <v>108/344</v>
      </c>
      <c r="E114" s="1">
        <v>1.9</v>
      </c>
      <c r="F114" s="1" t="s">
        <v>511</v>
      </c>
      <c r="G114" s="1" t="s">
        <v>512</v>
      </c>
      <c r="H114" s="4" t="s">
        <v>28</v>
      </c>
      <c r="I114" s="4" t="s">
        <v>44</v>
      </c>
      <c r="J114" s="12"/>
    </row>
    <row r="115" spans="1:10" x14ac:dyDescent="0.2">
      <c r="A115" s="4" t="s">
        <v>1238</v>
      </c>
      <c r="B115" s="1">
        <v>5.4</v>
      </c>
      <c r="C115" s="1" t="s">
        <v>18</v>
      </c>
      <c r="D115" s="1" t="str">
        <f>"56/178"</f>
        <v>56/178</v>
      </c>
      <c r="E115" s="1">
        <v>1.1000000000000001</v>
      </c>
      <c r="F115" s="1" t="s">
        <v>1239</v>
      </c>
      <c r="G115" s="1" t="s">
        <v>1239</v>
      </c>
      <c r="H115" s="4" t="s">
        <v>10</v>
      </c>
      <c r="I115" s="4" t="s">
        <v>112</v>
      </c>
      <c r="J115" s="12"/>
    </row>
    <row r="116" spans="1:10" x14ac:dyDescent="0.2">
      <c r="A116" s="4" t="s">
        <v>356</v>
      </c>
      <c r="B116" s="1">
        <v>5.3</v>
      </c>
      <c r="C116" s="1" t="s">
        <v>36</v>
      </c>
      <c r="D116" s="1" t="str">
        <f>"39/160"</f>
        <v>39/160</v>
      </c>
      <c r="E116" s="1">
        <v>1.3</v>
      </c>
      <c r="F116" s="1" t="s">
        <v>357</v>
      </c>
      <c r="G116" s="1" t="s">
        <v>357</v>
      </c>
      <c r="H116" s="4" t="s">
        <v>39</v>
      </c>
      <c r="I116" s="4" t="s">
        <v>358</v>
      </c>
      <c r="J116" s="12"/>
    </row>
    <row r="117" spans="1:10" x14ac:dyDescent="0.2">
      <c r="A117" s="4" t="s">
        <v>273</v>
      </c>
      <c r="B117" s="1">
        <v>5.2</v>
      </c>
      <c r="C117" s="1" t="s">
        <v>36</v>
      </c>
      <c r="D117" s="1" t="str">
        <f>"13/86"</f>
        <v>13/86</v>
      </c>
      <c r="E117" s="1">
        <v>1.4</v>
      </c>
      <c r="F117" s="1" t="s">
        <v>274</v>
      </c>
      <c r="G117" s="1" t="s">
        <v>275</v>
      </c>
      <c r="H117" s="4" t="s">
        <v>28</v>
      </c>
      <c r="I117" s="4" t="s">
        <v>112</v>
      </c>
      <c r="J117" s="12"/>
    </row>
    <row r="118" spans="1:10" x14ac:dyDescent="0.2">
      <c r="A118" s="4" t="s">
        <v>398</v>
      </c>
      <c r="B118" s="1">
        <v>5.2</v>
      </c>
      <c r="C118" s="1" t="s">
        <v>36</v>
      </c>
      <c r="D118" s="1" t="str">
        <f>"15/73"</f>
        <v>15/73</v>
      </c>
      <c r="E118" s="1">
        <v>1.2</v>
      </c>
      <c r="F118" s="1" t="s">
        <v>399</v>
      </c>
      <c r="G118" s="1" t="s">
        <v>400</v>
      </c>
      <c r="H118" s="4" t="s">
        <v>64</v>
      </c>
      <c r="I118" s="4" t="s">
        <v>60</v>
      </c>
      <c r="J118" s="12"/>
    </row>
    <row r="119" spans="1:10" x14ac:dyDescent="0.2">
      <c r="A119" s="4" t="s">
        <v>1111</v>
      </c>
      <c r="B119" s="1">
        <v>5.2</v>
      </c>
      <c r="C119" s="1" t="s">
        <v>36</v>
      </c>
      <c r="D119" s="1" t="str">
        <f>"3/29"</f>
        <v>3/29</v>
      </c>
      <c r="E119" s="1">
        <v>1.4</v>
      </c>
      <c r="F119" s="1" t="s">
        <v>1112</v>
      </c>
      <c r="G119" s="1" t="s">
        <v>1113</v>
      </c>
      <c r="H119" s="4" t="s">
        <v>21</v>
      </c>
      <c r="I119" s="4" t="s">
        <v>272</v>
      </c>
      <c r="J119" s="12"/>
    </row>
    <row r="120" spans="1:10" x14ac:dyDescent="0.2">
      <c r="A120" s="4" t="s">
        <v>269</v>
      </c>
      <c r="B120" s="1">
        <v>5.0999999999999996</v>
      </c>
      <c r="C120" s="1" t="s">
        <v>36</v>
      </c>
      <c r="D120" s="1" t="str">
        <f>"1/32"</f>
        <v>1/32</v>
      </c>
      <c r="E120" s="1">
        <v>1.2</v>
      </c>
      <c r="F120" s="1" t="s">
        <v>270</v>
      </c>
      <c r="G120" s="1" t="s">
        <v>271</v>
      </c>
      <c r="H120" s="4" t="s">
        <v>21</v>
      </c>
      <c r="I120" s="4" t="s">
        <v>272</v>
      </c>
      <c r="J120" s="12"/>
    </row>
    <row r="121" spans="1:10" x14ac:dyDescent="0.2">
      <c r="A121" s="4" t="s">
        <v>313</v>
      </c>
      <c r="B121" s="1">
        <v>5.0999999999999996</v>
      </c>
      <c r="C121" s="1" t="s">
        <v>18</v>
      </c>
      <c r="D121" s="1" t="str">
        <f>"115/344"</f>
        <v>115/344</v>
      </c>
      <c r="E121" s="1">
        <v>2.1</v>
      </c>
      <c r="F121" s="1" t="s">
        <v>9</v>
      </c>
      <c r="G121" s="1" t="s">
        <v>314</v>
      </c>
      <c r="H121" s="4" t="s">
        <v>59</v>
      </c>
      <c r="I121" s="4" t="s">
        <v>315</v>
      </c>
      <c r="J121" s="12"/>
    </row>
    <row r="122" spans="1:10" x14ac:dyDescent="0.2">
      <c r="A122" s="4" t="s">
        <v>576</v>
      </c>
      <c r="B122" s="1">
        <v>5.0999999999999996</v>
      </c>
      <c r="C122" s="1" t="s">
        <v>36</v>
      </c>
      <c r="D122" s="1" t="str">
        <f>"2/26"</f>
        <v>2/26</v>
      </c>
      <c r="E122" s="1">
        <v>1.9</v>
      </c>
      <c r="F122" s="1" t="s">
        <v>577</v>
      </c>
      <c r="G122" s="1" t="s">
        <v>578</v>
      </c>
      <c r="H122" s="4" t="s">
        <v>21</v>
      </c>
      <c r="I122" s="4" t="s">
        <v>22</v>
      </c>
      <c r="J122" s="12"/>
    </row>
    <row r="123" spans="1:10" x14ac:dyDescent="0.2">
      <c r="A123" s="4" t="s">
        <v>35</v>
      </c>
      <c r="B123" s="1">
        <v>5</v>
      </c>
      <c r="C123" s="1" t="s">
        <v>36</v>
      </c>
      <c r="D123" s="1" t="str">
        <f>"23/136"</f>
        <v>23/136</v>
      </c>
      <c r="E123" s="1">
        <v>1</v>
      </c>
      <c r="F123" s="1" t="s">
        <v>37</v>
      </c>
      <c r="G123" s="1" t="s">
        <v>38</v>
      </c>
      <c r="H123" s="4" t="s">
        <v>39</v>
      </c>
      <c r="I123" s="4" t="s">
        <v>40</v>
      </c>
      <c r="J123" s="12"/>
    </row>
    <row r="124" spans="1:10" x14ac:dyDescent="0.2">
      <c r="A124" s="4" t="s">
        <v>380</v>
      </c>
      <c r="B124" s="1">
        <v>5</v>
      </c>
      <c r="C124" s="1" t="s">
        <v>36</v>
      </c>
      <c r="D124" s="1" t="str">
        <f>"40/160"</f>
        <v>40/160</v>
      </c>
      <c r="E124" s="1">
        <v>1.4</v>
      </c>
      <c r="F124" s="1" t="s">
        <v>381</v>
      </c>
      <c r="G124" s="1" t="s">
        <v>382</v>
      </c>
      <c r="H124" s="4" t="s">
        <v>10</v>
      </c>
      <c r="I124" s="4" t="s">
        <v>34</v>
      </c>
      <c r="J124" s="12"/>
    </row>
    <row r="125" spans="1:10" x14ac:dyDescent="0.2">
      <c r="A125" s="4" t="s">
        <v>1293</v>
      </c>
      <c r="B125" s="1">
        <v>5</v>
      </c>
      <c r="C125" s="1" t="s">
        <v>36</v>
      </c>
      <c r="D125" s="1" t="str">
        <f>"16/86"</f>
        <v>16/86</v>
      </c>
      <c r="E125" s="1">
        <v>1</v>
      </c>
      <c r="F125" s="1" t="s">
        <v>1294</v>
      </c>
      <c r="G125" s="1" t="s">
        <v>1294</v>
      </c>
      <c r="H125" s="4" t="s">
        <v>28</v>
      </c>
      <c r="I125" s="4" t="s">
        <v>369</v>
      </c>
      <c r="J125" s="12"/>
    </row>
    <row r="126" spans="1:10" x14ac:dyDescent="0.2">
      <c r="A126" s="4" t="s">
        <v>246</v>
      </c>
      <c r="B126" s="1">
        <v>4.9000000000000004</v>
      </c>
      <c r="C126" s="1" t="s">
        <v>18</v>
      </c>
      <c r="D126" s="1" t="str">
        <f>"29/96"</f>
        <v>29/96</v>
      </c>
      <c r="E126" s="1">
        <v>1.2</v>
      </c>
      <c r="F126" s="1" t="s">
        <v>247</v>
      </c>
      <c r="G126" s="1" t="s">
        <v>248</v>
      </c>
      <c r="H126" s="4" t="s">
        <v>10</v>
      </c>
      <c r="I126" s="4" t="s">
        <v>34</v>
      </c>
      <c r="J126" s="12"/>
    </row>
    <row r="127" spans="1:10" x14ac:dyDescent="0.2">
      <c r="A127" s="4" t="s">
        <v>823</v>
      </c>
      <c r="B127" s="1">
        <v>4.9000000000000004</v>
      </c>
      <c r="C127" s="1" t="s">
        <v>18</v>
      </c>
      <c r="D127" s="1" t="str">
        <f>"29/96"</f>
        <v>29/96</v>
      </c>
      <c r="E127" s="1">
        <v>0.9</v>
      </c>
      <c r="F127" s="1" t="s">
        <v>824</v>
      </c>
      <c r="G127" s="1" t="s">
        <v>825</v>
      </c>
      <c r="H127" s="4" t="s">
        <v>28</v>
      </c>
      <c r="I127" s="4" t="s">
        <v>112</v>
      </c>
      <c r="J127" s="12"/>
    </row>
    <row r="128" spans="1:10" x14ac:dyDescent="0.2">
      <c r="A128" s="4" t="s">
        <v>539</v>
      </c>
      <c r="B128" s="1">
        <v>4.8</v>
      </c>
      <c r="C128" s="1" t="s">
        <v>18</v>
      </c>
      <c r="D128" s="1" t="str">
        <f>"120/344"</f>
        <v>120/344</v>
      </c>
      <c r="E128" s="1">
        <v>1</v>
      </c>
      <c r="F128" s="1" t="s">
        <v>540</v>
      </c>
      <c r="G128" s="1" t="s">
        <v>541</v>
      </c>
      <c r="H128" s="4" t="s">
        <v>28</v>
      </c>
      <c r="I128" s="4" t="s">
        <v>133</v>
      </c>
      <c r="J128" s="12"/>
    </row>
    <row r="129" spans="1:10" x14ac:dyDescent="0.2">
      <c r="A129" s="4" t="s">
        <v>679</v>
      </c>
      <c r="B129" s="1">
        <v>4.8</v>
      </c>
      <c r="C129" s="1" t="s">
        <v>18</v>
      </c>
      <c r="D129" s="1" t="str">
        <f>"120/344"</f>
        <v>120/344</v>
      </c>
      <c r="E129" s="1">
        <v>0.8</v>
      </c>
      <c r="F129" s="1" t="s">
        <v>9</v>
      </c>
      <c r="G129" s="1" t="s">
        <v>680</v>
      </c>
      <c r="H129" s="4" t="s">
        <v>21</v>
      </c>
      <c r="I129" s="4" t="s">
        <v>90</v>
      </c>
      <c r="J129" s="12"/>
    </row>
    <row r="130" spans="1:10" x14ac:dyDescent="0.2">
      <c r="A130" s="4" t="s">
        <v>772</v>
      </c>
      <c r="B130" s="1">
        <v>4.8</v>
      </c>
      <c r="C130" s="1" t="s">
        <v>18</v>
      </c>
      <c r="D130" s="1" t="str">
        <f>"32/96"</f>
        <v>32/96</v>
      </c>
      <c r="E130" s="1">
        <v>1.2</v>
      </c>
      <c r="F130" s="1" t="s">
        <v>9</v>
      </c>
      <c r="G130" s="1" t="s">
        <v>773</v>
      </c>
      <c r="H130" s="4" t="s">
        <v>39</v>
      </c>
      <c r="I130" s="4" t="s">
        <v>358</v>
      </c>
      <c r="J130" s="12"/>
    </row>
    <row r="131" spans="1:10" ht="28.5" x14ac:dyDescent="0.2">
      <c r="A131" s="4" t="s">
        <v>885</v>
      </c>
      <c r="B131" s="1">
        <v>4.8</v>
      </c>
      <c r="C131" s="1" t="s">
        <v>36</v>
      </c>
      <c r="D131" s="1" t="str">
        <f>"11/79"</f>
        <v>11/79</v>
      </c>
      <c r="E131" s="1">
        <v>2.9</v>
      </c>
      <c r="F131" s="1" t="s">
        <v>886</v>
      </c>
      <c r="G131" s="1" t="s">
        <v>887</v>
      </c>
      <c r="H131" s="4" t="s">
        <v>59</v>
      </c>
      <c r="I131" s="4" t="s">
        <v>108</v>
      </c>
      <c r="J131" s="12"/>
    </row>
    <row r="132" spans="1:10" x14ac:dyDescent="0.2">
      <c r="A132" s="4" t="s">
        <v>239</v>
      </c>
      <c r="B132" s="1">
        <v>4.7</v>
      </c>
      <c r="C132" s="1" t="s">
        <v>18</v>
      </c>
      <c r="D132" s="1" t="str">
        <f>"123/344"</f>
        <v>123/344</v>
      </c>
      <c r="E132" s="1">
        <v>1.2</v>
      </c>
      <c r="F132" s="1" t="s">
        <v>240</v>
      </c>
      <c r="G132" s="1" t="s">
        <v>241</v>
      </c>
      <c r="H132" s="4" t="s">
        <v>59</v>
      </c>
      <c r="I132" s="4" t="s">
        <v>242</v>
      </c>
      <c r="J132" s="12"/>
    </row>
    <row r="133" spans="1:10" x14ac:dyDescent="0.2">
      <c r="A133" s="4" t="s">
        <v>351</v>
      </c>
      <c r="B133" s="1">
        <v>4.7</v>
      </c>
      <c r="C133" s="1" t="s">
        <v>18</v>
      </c>
      <c r="D133" s="1" t="str">
        <f>"61/178"</f>
        <v>61/178</v>
      </c>
      <c r="E133" s="1">
        <v>0.8</v>
      </c>
      <c r="F133" s="1" t="s">
        <v>352</v>
      </c>
      <c r="G133" s="1" t="s">
        <v>352</v>
      </c>
      <c r="H133" s="4" t="s">
        <v>21</v>
      </c>
      <c r="I133" s="4" t="s">
        <v>85</v>
      </c>
      <c r="J133" s="12"/>
    </row>
    <row r="134" spans="1:10" x14ac:dyDescent="0.2">
      <c r="A134" s="4" t="s">
        <v>530</v>
      </c>
      <c r="B134" s="1">
        <v>4.7</v>
      </c>
      <c r="C134" s="1" t="s">
        <v>36</v>
      </c>
      <c r="D134" s="1" t="str">
        <f>"3/32"</f>
        <v>3/32</v>
      </c>
      <c r="E134" s="1">
        <v>0.9</v>
      </c>
      <c r="F134" s="1" t="s">
        <v>531</v>
      </c>
      <c r="G134" s="1" t="s">
        <v>532</v>
      </c>
      <c r="H134" s="4" t="s">
        <v>28</v>
      </c>
      <c r="I134" s="4" t="s">
        <v>242</v>
      </c>
      <c r="J134" s="12"/>
    </row>
    <row r="135" spans="1:10" x14ac:dyDescent="0.2">
      <c r="A135" s="4" t="s">
        <v>950</v>
      </c>
      <c r="B135" s="1">
        <v>4.7</v>
      </c>
      <c r="C135" s="1" t="s">
        <v>36</v>
      </c>
      <c r="D135" s="1" t="str">
        <f>"12/79"</f>
        <v>12/79</v>
      </c>
      <c r="E135" s="1">
        <v>1.1000000000000001</v>
      </c>
      <c r="F135" s="1" t="s">
        <v>951</v>
      </c>
      <c r="G135" s="1" t="s">
        <v>952</v>
      </c>
      <c r="H135" s="4" t="s">
        <v>64</v>
      </c>
      <c r="I135" s="4" t="s">
        <v>60</v>
      </c>
      <c r="J135" s="12"/>
    </row>
    <row r="136" spans="1:10" x14ac:dyDescent="0.2">
      <c r="A136" s="4" t="s">
        <v>1302</v>
      </c>
      <c r="B136" s="1">
        <v>4.7</v>
      </c>
      <c r="C136" s="1" t="s">
        <v>18</v>
      </c>
      <c r="D136" s="1" t="str">
        <f>"76/275"</f>
        <v>76/275</v>
      </c>
      <c r="E136" s="1">
        <v>1</v>
      </c>
      <c r="F136" s="1" t="s">
        <v>9</v>
      </c>
      <c r="G136" s="1" t="s">
        <v>1303</v>
      </c>
      <c r="H136" s="4" t="s">
        <v>28</v>
      </c>
      <c r="I136" s="4" t="s">
        <v>369</v>
      </c>
      <c r="J136" s="12"/>
    </row>
    <row r="137" spans="1:10" x14ac:dyDescent="0.2">
      <c r="A137" s="4" t="s">
        <v>359</v>
      </c>
      <c r="B137" s="1">
        <v>4.5999999999999996</v>
      </c>
      <c r="C137" s="1" t="s">
        <v>18</v>
      </c>
      <c r="D137" s="1" t="str">
        <f>"9/28"</f>
        <v>9/28</v>
      </c>
      <c r="E137" s="1">
        <v>2</v>
      </c>
      <c r="F137" s="1" t="s">
        <v>360</v>
      </c>
      <c r="G137" s="1" t="s">
        <v>361</v>
      </c>
      <c r="H137" s="4" t="s">
        <v>21</v>
      </c>
      <c r="I137" s="4" t="s">
        <v>22</v>
      </c>
      <c r="J137" s="12"/>
    </row>
    <row r="138" spans="1:10" x14ac:dyDescent="0.2">
      <c r="A138" s="4" t="s">
        <v>527</v>
      </c>
      <c r="B138" s="1">
        <v>4.5999999999999996</v>
      </c>
      <c r="C138" s="1" t="s">
        <v>18</v>
      </c>
      <c r="D138" s="1" t="str">
        <f>"128/344"</f>
        <v>128/344</v>
      </c>
      <c r="E138" s="1">
        <v>1.1000000000000001</v>
      </c>
      <c r="F138" s="1" t="s">
        <v>528</v>
      </c>
      <c r="G138" s="1" t="s">
        <v>529</v>
      </c>
      <c r="H138" s="4" t="s">
        <v>39</v>
      </c>
      <c r="I138" s="4" t="s">
        <v>40</v>
      </c>
      <c r="J138" s="12"/>
    </row>
    <row r="139" spans="1:10" x14ac:dyDescent="0.2">
      <c r="A139" s="4" t="s">
        <v>800</v>
      </c>
      <c r="B139" s="1">
        <v>4.5999999999999996</v>
      </c>
      <c r="C139" s="1" t="s">
        <v>36</v>
      </c>
      <c r="D139" s="1" t="str">
        <f>"24/137"</f>
        <v>24/137</v>
      </c>
      <c r="E139" s="1">
        <v>1.5</v>
      </c>
      <c r="F139" s="1" t="s">
        <v>801</v>
      </c>
      <c r="G139" s="1" t="s">
        <v>802</v>
      </c>
      <c r="H139" s="4" t="s">
        <v>28</v>
      </c>
      <c r="I139" s="4" t="s">
        <v>803</v>
      </c>
      <c r="J139" s="12"/>
    </row>
    <row r="140" spans="1:10" x14ac:dyDescent="0.2">
      <c r="A140" s="4" t="s">
        <v>56</v>
      </c>
      <c r="B140" s="1">
        <v>4.5</v>
      </c>
      <c r="C140" s="1" t="s">
        <v>36</v>
      </c>
      <c r="D140" s="1" t="str">
        <f>"14/79"</f>
        <v>14/79</v>
      </c>
      <c r="E140" s="1">
        <v>0.9</v>
      </c>
      <c r="F140" s="1" t="s">
        <v>57</v>
      </c>
      <c r="G140" s="1" t="s">
        <v>58</v>
      </c>
      <c r="H140" s="4" t="s">
        <v>59</v>
      </c>
      <c r="I140" s="4" t="s">
        <v>60</v>
      </c>
      <c r="J140" s="12"/>
    </row>
    <row r="141" spans="1:10" x14ac:dyDescent="0.2">
      <c r="A141" s="4" t="s">
        <v>724</v>
      </c>
      <c r="B141" s="1">
        <v>4.5</v>
      </c>
      <c r="C141" s="1" t="s">
        <v>18</v>
      </c>
      <c r="D141" s="1" t="str">
        <f>"130/344"</f>
        <v>130/344</v>
      </c>
      <c r="E141" s="1">
        <v>1</v>
      </c>
      <c r="F141" s="1" t="s">
        <v>725</v>
      </c>
      <c r="G141" s="1" t="s">
        <v>726</v>
      </c>
      <c r="H141" s="4" t="s">
        <v>28</v>
      </c>
      <c r="I141" s="4" t="s">
        <v>108</v>
      </c>
      <c r="J141" s="12"/>
    </row>
    <row r="142" spans="1:10" x14ac:dyDescent="0.2">
      <c r="A142" s="4" t="s">
        <v>1136</v>
      </c>
      <c r="B142" s="1">
        <v>4.5</v>
      </c>
      <c r="C142" s="1" t="s">
        <v>18</v>
      </c>
      <c r="D142" s="1" t="str">
        <f>"65/178"</f>
        <v>65/178</v>
      </c>
      <c r="E142" s="1">
        <v>1.2</v>
      </c>
      <c r="F142" s="1" t="s">
        <v>1137</v>
      </c>
      <c r="G142" s="1" t="s">
        <v>1138</v>
      </c>
      <c r="H142" s="4" t="s">
        <v>404</v>
      </c>
      <c r="I142" s="4" t="s">
        <v>1139</v>
      </c>
      <c r="J142" s="12"/>
    </row>
    <row r="143" spans="1:10" x14ac:dyDescent="0.2">
      <c r="A143" s="4" t="s">
        <v>650</v>
      </c>
      <c r="B143" s="1">
        <v>4.4000000000000004</v>
      </c>
      <c r="C143" s="1" t="s">
        <v>18</v>
      </c>
      <c r="D143" s="1" t="str">
        <f>"18/68"</f>
        <v>18/68</v>
      </c>
      <c r="E143" s="1">
        <v>0.8</v>
      </c>
      <c r="F143" s="1" t="s">
        <v>651</v>
      </c>
      <c r="G143" s="1" t="s">
        <v>652</v>
      </c>
      <c r="H143" s="4" t="s">
        <v>59</v>
      </c>
      <c r="I143" s="4" t="s">
        <v>22</v>
      </c>
      <c r="J143" s="12"/>
    </row>
    <row r="144" spans="1:10" x14ac:dyDescent="0.2">
      <c r="A144" s="4" t="s">
        <v>816</v>
      </c>
      <c r="B144" s="1">
        <v>4.4000000000000004</v>
      </c>
      <c r="C144" s="1" t="s">
        <v>36</v>
      </c>
      <c r="D144" s="1" t="str">
        <f>"15/79"</f>
        <v>15/79</v>
      </c>
      <c r="E144" s="1">
        <v>0.9</v>
      </c>
      <c r="F144" s="1" t="s">
        <v>817</v>
      </c>
      <c r="G144" s="1" t="s">
        <v>818</v>
      </c>
      <c r="H144" s="4" t="s">
        <v>59</v>
      </c>
      <c r="I144" s="4" t="s">
        <v>819</v>
      </c>
      <c r="J144" s="12"/>
    </row>
    <row r="145" spans="1:10" x14ac:dyDescent="0.2">
      <c r="A145" s="4" t="s">
        <v>929</v>
      </c>
      <c r="B145" s="1">
        <v>4.4000000000000004</v>
      </c>
      <c r="C145" s="1" t="s">
        <v>36</v>
      </c>
      <c r="D145" s="1" t="str">
        <f>"15/79"</f>
        <v>15/79</v>
      </c>
      <c r="E145" s="1">
        <v>1</v>
      </c>
      <c r="F145" s="1" t="s">
        <v>930</v>
      </c>
      <c r="G145" s="1" t="s">
        <v>931</v>
      </c>
      <c r="H145" s="4" t="s">
        <v>21</v>
      </c>
      <c r="I145" s="4" t="s">
        <v>272</v>
      </c>
      <c r="J145" s="12"/>
    </row>
    <row r="146" spans="1:10" x14ac:dyDescent="0.2">
      <c r="A146" s="4" t="s">
        <v>334</v>
      </c>
      <c r="B146" s="1">
        <v>4.2</v>
      </c>
      <c r="C146" s="1" t="s">
        <v>36</v>
      </c>
      <c r="D146" s="1" t="str">
        <f>"4/32"</f>
        <v>4/32</v>
      </c>
      <c r="E146" s="1">
        <v>0.8</v>
      </c>
      <c r="F146" s="1" t="s">
        <v>335</v>
      </c>
      <c r="G146" s="1" t="s">
        <v>336</v>
      </c>
      <c r="H146" s="4" t="s">
        <v>21</v>
      </c>
      <c r="I146" s="4" t="s">
        <v>272</v>
      </c>
      <c r="J146" s="12"/>
    </row>
    <row r="147" spans="1:10" x14ac:dyDescent="0.2">
      <c r="A147" s="4" t="s">
        <v>134</v>
      </c>
      <c r="B147" s="1">
        <v>4.0999999999999996</v>
      </c>
      <c r="C147" s="1" t="s">
        <v>18</v>
      </c>
      <c r="D147" s="1" t="str">
        <f>"18/63"</f>
        <v>18/63</v>
      </c>
      <c r="E147" s="1">
        <v>1.4</v>
      </c>
      <c r="F147" s="1" t="s">
        <v>135</v>
      </c>
      <c r="G147" s="1" t="s">
        <v>136</v>
      </c>
      <c r="H147" s="4" t="s">
        <v>21</v>
      </c>
      <c r="I147" s="4" t="s">
        <v>90</v>
      </c>
      <c r="J147" s="12"/>
    </row>
    <row r="148" spans="1:10" x14ac:dyDescent="0.2">
      <c r="A148" s="4" t="s">
        <v>484</v>
      </c>
      <c r="B148" s="1">
        <v>4.0999999999999996</v>
      </c>
      <c r="C148" s="1" t="s">
        <v>18</v>
      </c>
      <c r="D148" s="1" t="str">
        <f>"45/160"</f>
        <v>45/160</v>
      </c>
      <c r="E148" s="1">
        <v>1.2</v>
      </c>
      <c r="F148" s="1" t="s">
        <v>485</v>
      </c>
      <c r="G148" s="1" t="s">
        <v>486</v>
      </c>
      <c r="H148" s="4" t="s">
        <v>21</v>
      </c>
      <c r="I148" s="4" t="s">
        <v>272</v>
      </c>
      <c r="J148" s="12"/>
    </row>
    <row r="149" spans="1:10" ht="28.5" x14ac:dyDescent="0.2">
      <c r="A149" s="4" t="s">
        <v>585</v>
      </c>
      <c r="B149" s="1">
        <v>4.0999999999999996</v>
      </c>
      <c r="C149" s="1" t="s">
        <v>18</v>
      </c>
      <c r="D149" s="1" t="str">
        <f>"51/142"</f>
        <v>51/142</v>
      </c>
      <c r="E149" s="1">
        <v>1.8</v>
      </c>
      <c r="F149" s="1" t="s">
        <v>586</v>
      </c>
      <c r="G149" s="1" t="s">
        <v>587</v>
      </c>
      <c r="H149" s="4" t="s">
        <v>72</v>
      </c>
      <c r="I149" s="4" t="s">
        <v>588</v>
      </c>
      <c r="J149" s="12"/>
    </row>
    <row r="150" spans="1:10" x14ac:dyDescent="0.2">
      <c r="A150" s="4" t="s">
        <v>1042</v>
      </c>
      <c r="B150" s="1">
        <v>4.0999999999999996</v>
      </c>
      <c r="C150" s="1" t="s">
        <v>18</v>
      </c>
      <c r="D150" s="1" t="str">
        <f>"6/21"</f>
        <v>6/21</v>
      </c>
      <c r="E150" s="1">
        <v>1.1000000000000001</v>
      </c>
      <c r="F150" s="1" t="s">
        <v>1043</v>
      </c>
      <c r="G150" s="1" t="s">
        <v>1044</v>
      </c>
      <c r="H150" s="4" t="s">
        <v>64</v>
      </c>
      <c r="I150" s="4" t="s">
        <v>40</v>
      </c>
      <c r="J150" s="12"/>
    </row>
    <row r="151" spans="1:10" x14ac:dyDescent="0.2">
      <c r="A151" s="4" t="s">
        <v>41</v>
      </c>
      <c r="B151" s="1">
        <v>4</v>
      </c>
      <c r="C151" s="1" t="s">
        <v>18</v>
      </c>
      <c r="D151" s="1" t="str">
        <f>"48/160"</f>
        <v>48/160</v>
      </c>
      <c r="E151" s="1">
        <v>1</v>
      </c>
      <c r="F151" s="1" t="s">
        <v>42</v>
      </c>
      <c r="G151" s="1" t="s">
        <v>43</v>
      </c>
      <c r="H151" s="4" t="s">
        <v>21</v>
      </c>
      <c r="I151" s="4" t="s">
        <v>44</v>
      </c>
      <c r="J151" s="12"/>
    </row>
    <row r="152" spans="1:10" x14ac:dyDescent="0.2">
      <c r="A152" s="4" t="s">
        <v>1158</v>
      </c>
      <c r="B152" s="1">
        <v>4</v>
      </c>
      <c r="C152" s="1" t="s">
        <v>18</v>
      </c>
      <c r="D152" s="1" t="str">
        <f>"42/96"</f>
        <v>42/96</v>
      </c>
      <c r="E152" s="1">
        <v>1.2</v>
      </c>
      <c r="F152" s="1" t="s">
        <v>1159</v>
      </c>
      <c r="G152" s="1" t="s">
        <v>1160</v>
      </c>
      <c r="H152" s="4" t="s">
        <v>21</v>
      </c>
      <c r="I152" s="4" t="s">
        <v>90</v>
      </c>
      <c r="J152" s="12"/>
    </row>
    <row r="153" spans="1:10" x14ac:dyDescent="0.2">
      <c r="A153" s="4" t="s">
        <v>1185</v>
      </c>
      <c r="B153" s="1">
        <v>4</v>
      </c>
      <c r="C153" s="1" t="s">
        <v>18</v>
      </c>
      <c r="D153" s="1" t="str">
        <f>"143/344"</f>
        <v>143/344</v>
      </c>
      <c r="E153" s="1">
        <v>0.8</v>
      </c>
      <c r="F153" s="1" t="s">
        <v>9</v>
      </c>
      <c r="G153" s="1" t="s">
        <v>1186</v>
      </c>
      <c r="H153" s="4" t="s">
        <v>39</v>
      </c>
      <c r="I153" s="4" t="s">
        <v>358</v>
      </c>
      <c r="J153" s="12"/>
    </row>
    <row r="154" spans="1:10" x14ac:dyDescent="0.2">
      <c r="A154" s="4" t="s">
        <v>310</v>
      </c>
      <c r="B154" s="1">
        <v>3.9</v>
      </c>
      <c r="C154" s="1" t="s">
        <v>18</v>
      </c>
      <c r="D154" s="1" t="str">
        <f>"28/100"</f>
        <v>28/100</v>
      </c>
      <c r="E154" s="1">
        <v>1.2</v>
      </c>
      <c r="F154" s="1" t="s">
        <v>311</v>
      </c>
      <c r="G154" s="1" t="s">
        <v>312</v>
      </c>
      <c r="H154" s="4" t="s">
        <v>64</v>
      </c>
      <c r="I154" s="4" t="s">
        <v>60</v>
      </c>
      <c r="J154" s="12"/>
    </row>
    <row r="155" spans="1:10" x14ac:dyDescent="0.2">
      <c r="A155" s="4" t="s">
        <v>431</v>
      </c>
      <c r="B155" s="1">
        <v>3.9</v>
      </c>
      <c r="C155" s="1" t="s">
        <v>36</v>
      </c>
      <c r="D155" s="1" t="str">
        <f>"32/137"</f>
        <v>32/137</v>
      </c>
      <c r="E155" s="1">
        <v>1</v>
      </c>
      <c r="F155" s="1" t="s">
        <v>432</v>
      </c>
      <c r="G155" s="1" t="s">
        <v>433</v>
      </c>
      <c r="H155" s="4" t="s">
        <v>64</v>
      </c>
      <c r="I155" s="4" t="s">
        <v>60</v>
      </c>
      <c r="J155" s="12"/>
    </row>
    <row r="156" spans="1:10" x14ac:dyDescent="0.2">
      <c r="A156" s="4" t="s">
        <v>573</v>
      </c>
      <c r="B156" s="1">
        <v>3.9</v>
      </c>
      <c r="C156" s="1" t="s">
        <v>18</v>
      </c>
      <c r="D156" s="1" t="str">
        <f>"27/86"</f>
        <v>27/86</v>
      </c>
      <c r="E156" s="1">
        <v>0.8</v>
      </c>
      <c r="F156" s="1" t="s">
        <v>574</v>
      </c>
      <c r="G156" s="1" t="s">
        <v>575</v>
      </c>
      <c r="H156" s="4" t="s">
        <v>10</v>
      </c>
      <c r="I156" s="4" t="s">
        <v>116</v>
      </c>
      <c r="J156" s="12"/>
    </row>
    <row r="157" spans="1:10" x14ac:dyDescent="0.2">
      <c r="A157" s="4" t="s">
        <v>618</v>
      </c>
      <c r="B157" s="1">
        <v>3.9</v>
      </c>
      <c r="C157" s="1" t="s">
        <v>18</v>
      </c>
      <c r="D157" s="1" t="str">
        <f>"44/96"</f>
        <v>44/96</v>
      </c>
      <c r="E157" s="1">
        <v>0.7</v>
      </c>
      <c r="F157" s="1" t="s">
        <v>619</v>
      </c>
      <c r="G157" s="1" t="s">
        <v>620</v>
      </c>
      <c r="H157" s="4" t="s">
        <v>64</v>
      </c>
      <c r="I157" s="4" t="s">
        <v>60</v>
      </c>
      <c r="J157" s="12"/>
    </row>
    <row r="158" spans="1:10" x14ac:dyDescent="0.2">
      <c r="A158" s="4" t="s">
        <v>640</v>
      </c>
      <c r="B158" s="1">
        <v>3.9</v>
      </c>
      <c r="C158" s="1" t="s">
        <v>36</v>
      </c>
      <c r="D158" s="1" t="str">
        <f>"4/29"</f>
        <v>4/29</v>
      </c>
      <c r="E158" s="1">
        <v>0.6</v>
      </c>
      <c r="F158" s="1" t="s">
        <v>641</v>
      </c>
      <c r="G158" s="1" t="s">
        <v>642</v>
      </c>
      <c r="H158" s="4" t="s">
        <v>28</v>
      </c>
      <c r="I158" s="4" t="s">
        <v>112</v>
      </c>
      <c r="J158" s="12"/>
    </row>
    <row r="159" spans="1:10" x14ac:dyDescent="0.2">
      <c r="A159" s="4" t="s">
        <v>664</v>
      </c>
      <c r="B159" s="1">
        <v>3.9</v>
      </c>
      <c r="C159" s="1" t="s">
        <v>36</v>
      </c>
      <c r="D159" s="1" t="str">
        <f>"8/32"</f>
        <v>8/32</v>
      </c>
      <c r="E159" s="1">
        <v>0.6</v>
      </c>
      <c r="F159" s="1" t="s">
        <v>665</v>
      </c>
      <c r="G159" s="1" t="s">
        <v>666</v>
      </c>
      <c r="H159" s="4" t="s">
        <v>21</v>
      </c>
      <c r="I159" s="4" t="s">
        <v>68</v>
      </c>
      <c r="J159" s="12"/>
    </row>
    <row r="160" spans="1:10" x14ac:dyDescent="0.2">
      <c r="A160" s="4" t="s">
        <v>868</v>
      </c>
      <c r="B160" s="1">
        <v>3.9</v>
      </c>
      <c r="C160" s="1" t="s">
        <v>18</v>
      </c>
      <c r="D160" s="1" t="str">
        <f>"146/344"</f>
        <v>146/344</v>
      </c>
      <c r="E160" s="1">
        <v>0.7</v>
      </c>
      <c r="F160" s="1" t="s">
        <v>869</v>
      </c>
      <c r="G160" s="1" t="s">
        <v>870</v>
      </c>
      <c r="H160" s="4" t="s">
        <v>21</v>
      </c>
      <c r="I160" s="4" t="s">
        <v>22</v>
      </c>
      <c r="J160" s="12"/>
    </row>
    <row r="161" spans="1:10" x14ac:dyDescent="0.2">
      <c r="A161" s="4" t="s">
        <v>459</v>
      </c>
      <c r="B161" s="1">
        <v>3.8</v>
      </c>
      <c r="C161" s="1" t="s">
        <v>18</v>
      </c>
      <c r="D161" s="1" t="str">
        <f>"153/344"</f>
        <v>153/344</v>
      </c>
      <c r="E161" s="1">
        <v>0.8</v>
      </c>
      <c r="F161" s="1" t="s">
        <v>460</v>
      </c>
      <c r="G161" s="1" t="s">
        <v>460</v>
      </c>
      <c r="H161" s="4" t="s">
        <v>21</v>
      </c>
      <c r="I161" s="4" t="s">
        <v>60</v>
      </c>
      <c r="J161" s="12"/>
    </row>
    <row r="162" spans="1:10" x14ac:dyDescent="0.2">
      <c r="A162" s="4" t="s">
        <v>536</v>
      </c>
      <c r="B162" s="1">
        <v>3.8</v>
      </c>
      <c r="C162" s="1" t="s">
        <v>18</v>
      </c>
      <c r="D162" s="1" t="str">
        <f>"46/139"</f>
        <v>46/139</v>
      </c>
      <c r="E162" s="1">
        <v>0.9</v>
      </c>
      <c r="F162" s="1" t="s">
        <v>537</v>
      </c>
      <c r="G162" s="1" t="s">
        <v>538</v>
      </c>
      <c r="H162" s="4" t="s">
        <v>64</v>
      </c>
      <c r="I162" s="4" t="s">
        <v>108</v>
      </c>
      <c r="J162" s="12"/>
    </row>
    <row r="163" spans="1:10" x14ac:dyDescent="0.2">
      <c r="A163" s="4" t="s">
        <v>1101</v>
      </c>
      <c r="B163" s="1">
        <v>3.8</v>
      </c>
      <c r="C163" s="1" t="s">
        <v>18</v>
      </c>
      <c r="D163" s="1" t="str">
        <f>"78/178"</f>
        <v>78/178</v>
      </c>
      <c r="E163" s="1">
        <v>0.7</v>
      </c>
      <c r="F163" s="1" t="s">
        <v>1102</v>
      </c>
      <c r="G163" s="1" t="s">
        <v>1102</v>
      </c>
      <c r="H163" s="4" t="s">
        <v>10</v>
      </c>
      <c r="I163" s="4" t="s">
        <v>116</v>
      </c>
      <c r="J163" s="12"/>
    </row>
    <row r="164" spans="1:10" x14ac:dyDescent="0.2">
      <c r="A164" s="4" t="s">
        <v>353</v>
      </c>
      <c r="B164" s="1">
        <v>3.7</v>
      </c>
      <c r="C164" s="1" t="s">
        <v>18</v>
      </c>
      <c r="D164" s="1" t="str">
        <f>"50/160"</f>
        <v>50/160</v>
      </c>
      <c r="E164" s="1">
        <v>1.3</v>
      </c>
      <c r="F164" s="1" t="s">
        <v>354</v>
      </c>
      <c r="G164" s="1" t="s">
        <v>354</v>
      </c>
      <c r="H164" s="4" t="s">
        <v>21</v>
      </c>
      <c r="I164" s="4" t="s">
        <v>355</v>
      </c>
      <c r="J164" s="12"/>
    </row>
    <row r="165" spans="1:10" x14ac:dyDescent="0.2">
      <c r="A165" s="4" t="s">
        <v>714</v>
      </c>
      <c r="B165" s="1">
        <v>3.7</v>
      </c>
      <c r="C165" s="1" t="s">
        <v>18</v>
      </c>
      <c r="D165" s="1" t="str">
        <f>"48/96"</f>
        <v>48/96</v>
      </c>
      <c r="E165" s="1">
        <v>1.2</v>
      </c>
      <c r="F165" s="1" t="s">
        <v>715</v>
      </c>
      <c r="G165" s="1" t="s">
        <v>716</v>
      </c>
      <c r="H165" s="4" t="s">
        <v>64</v>
      </c>
      <c r="I165" s="4" t="s">
        <v>108</v>
      </c>
      <c r="J165" s="12"/>
    </row>
    <row r="166" spans="1:10" x14ac:dyDescent="0.2">
      <c r="A166" s="4" t="s">
        <v>765</v>
      </c>
      <c r="B166" s="1">
        <v>3.7</v>
      </c>
      <c r="C166" s="1" t="s">
        <v>18</v>
      </c>
      <c r="D166" s="1" t="str">
        <f>"157/344"</f>
        <v>157/344</v>
      </c>
      <c r="E166" s="1">
        <v>0.9</v>
      </c>
      <c r="F166" s="1" t="s">
        <v>766</v>
      </c>
      <c r="G166" s="1" t="s">
        <v>767</v>
      </c>
      <c r="H166" s="4" t="s">
        <v>404</v>
      </c>
      <c r="I166" s="4" t="s">
        <v>22</v>
      </c>
      <c r="J166" s="12"/>
    </row>
    <row r="167" spans="1:10" x14ac:dyDescent="0.2">
      <c r="A167" s="4" t="s">
        <v>892</v>
      </c>
      <c r="B167" s="1">
        <v>3.7</v>
      </c>
      <c r="C167" s="1" t="s">
        <v>18</v>
      </c>
      <c r="D167" s="1" t="str">
        <f>"37/137"</f>
        <v>37/137</v>
      </c>
      <c r="E167" s="1">
        <v>0.4</v>
      </c>
      <c r="F167" s="1" t="s">
        <v>893</v>
      </c>
      <c r="G167" s="1" t="s">
        <v>894</v>
      </c>
      <c r="H167" s="4" t="s">
        <v>10</v>
      </c>
      <c r="I167" s="4" t="s">
        <v>34</v>
      </c>
      <c r="J167" s="12"/>
    </row>
    <row r="168" spans="1:10" x14ac:dyDescent="0.2">
      <c r="A168" s="4" t="s">
        <v>1008</v>
      </c>
      <c r="B168" s="1">
        <v>3.7</v>
      </c>
      <c r="C168" s="1" t="s">
        <v>18</v>
      </c>
      <c r="D168" s="1" t="str">
        <f>"40/136"</f>
        <v>40/136</v>
      </c>
      <c r="E168" s="1">
        <v>0.8</v>
      </c>
      <c r="F168" s="1" t="s">
        <v>1009</v>
      </c>
      <c r="G168" s="1" t="s">
        <v>1010</v>
      </c>
      <c r="H168" s="4" t="s">
        <v>21</v>
      </c>
      <c r="I168" s="4" t="s">
        <v>112</v>
      </c>
      <c r="J168" s="12"/>
    </row>
    <row r="169" spans="1:10" x14ac:dyDescent="0.2">
      <c r="A169" s="4" t="s">
        <v>1270</v>
      </c>
      <c r="B169" s="1">
        <v>3.7</v>
      </c>
      <c r="C169" s="1" t="s">
        <v>13</v>
      </c>
      <c r="D169" s="1" t="str">
        <f>"28/45"</f>
        <v>28/45</v>
      </c>
      <c r="E169" s="1">
        <v>0.7</v>
      </c>
      <c r="F169" s="1" t="s">
        <v>1271</v>
      </c>
      <c r="G169" s="1" t="s">
        <v>1271</v>
      </c>
      <c r="H169" s="4" t="s">
        <v>10</v>
      </c>
      <c r="I169" s="4" t="s">
        <v>116</v>
      </c>
      <c r="J169" s="12"/>
    </row>
    <row r="170" spans="1:10" x14ac:dyDescent="0.2">
      <c r="A170" s="4" t="s">
        <v>198</v>
      </c>
      <c r="B170" s="1">
        <v>3.6</v>
      </c>
      <c r="C170" s="1" t="s">
        <v>18</v>
      </c>
      <c r="D170" s="1" t="str">
        <f>"164/344"</f>
        <v>164/344</v>
      </c>
      <c r="E170" s="1">
        <v>0.9</v>
      </c>
      <c r="F170" s="1" t="s">
        <v>199</v>
      </c>
      <c r="G170" s="1" t="s">
        <v>200</v>
      </c>
      <c r="H170" s="4" t="s">
        <v>201</v>
      </c>
      <c r="I170" s="4" t="s">
        <v>177</v>
      </c>
      <c r="J170" s="12"/>
    </row>
    <row r="171" spans="1:10" x14ac:dyDescent="0.2">
      <c r="A171" s="4" t="s">
        <v>383</v>
      </c>
      <c r="B171" s="1">
        <v>3.6</v>
      </c>
      <c r="C171" s="1" t="s">
        <v>18</v>
      </c>
      <c r="D171" s="1" t="str">
        <f>"164/344"</f>
        <v>164/344</v>
      </c>
      <c r="E171" s="1">
        <v>0.7</v>
      </c>
      <c r="F171" s="1" t="s">
        <v>384</v>
      </c>
      <c r="G171" s="1" t="s">
        <v>384</v>
      </c>
      <c r="H171" s="4" t="s">
        <v>21</v>
      </c>
      <c r="I171" s="4" t="s">
        <v>85</v>
      </c>
      <c r="J171" s="12"/>
    </row>
    <row r="172" spans="1:10" ht="28.5" x14ac:dyDescent="0.2">
      <c r="A172" s="4" t="s">
        <v>490</v>
      </c>
      <c r="B172" s="1">
        <v>3.6</v>
      </c>
      <c r="C172" s="1" t="s">
        <v>18</v>
      </c>
      <c r="D172" s="1" t="str">
        <f>"25/67"</f>
        <v>25/67</v>
      </c>
      <c r="E172" s="1">
        <v>0.7</v>
      </c>
      <c r="F172" s="1" t="s">
        <v>491</v>
      </c>
      <c r="G172" s="1" t="s">
        <v>492</v>
      </c>
      <c r="H172" s="4" t="s">
        <v>64</v>
      </c>
      <c r="I172" s="4" t="s">
        <v>60</v>
      </c>
      <c r="J172" s="12"/>
    </row>
    <row r="173" spans="1:10" x14ac:dyDescent="0.2">
      <c r="A173" s="4" t="s">
        <v>826</v>
      </c>
      <c r="B173" s="1">
        <v>3.6</v>
      </c>
      <c r="C173" s="1" t="s">
        <v>18</v>
      </c>
      <c r="D173" s="1" t="str">
        <f>"29/86"</f>
        <v>29/86</v>
      </c>
      <c r="E173" s="1">
        <v>0.8</v>
      </c>
      <c r="F173" s="1" t="s">
        <v>827</v>
      </c>
      <c r="G173" s="1" t="s">
        <v>828</v>
      </c>
      <c r="H173" s="4" t="s">
        <v>64</v>
      </c>
      <c r="I173" s="4" t="s">
        <v>22</v>
      </c>
      <c r="J173" s="12"/>
    </row>
    <row r="174" spans="1:10" ht="28.5" x14ac:dyDescent="0.2">
      <c r="A174" s="4" t="s">
        <v>871</v>
      </c>
      <c r="B174" s="1">
        <v>3.6</v>
      </c>
      <c r="C174" s="1" t="s">
        <v>36</v>
      </c>
      <c r="D174" s="1" t="str">
        <f>"17/79"</f>
        <v>17/79</v>
      </c>
      <c r="E174" s="1">
        <v>0.9</v>
      </c>
      <c r="F174" s="1" t="s">
        <v>872</v>
      </c>
      <c r="G174" s="1" t="s">
        <v>873</v>
      </c>
      <c r="H174" s="4" t="s">
        <v>21</v>
      </c>
      <c r="I174" s="4" t="s">
        <v>272</v>
      </c>
      <c r="J174" s="12"/>
    </row>
    <row r="175" spans="1:10" x14ac:dyDescent="0.2">
      <c r="A175" s="4" t="s">
        <v>1256</v>
      </c>
      <c r="B175" s="1">
        <v>3.6</v>
      </c>
      <c r="C175" s="1" t="s">
        <v>18</v>
      </c>
      <c r="D175" s="1" t="str">
        <f>"164/344"</f>
        <v>164/344</v>
      </c>
      <c r="E175" s="1">
        <v>0.8</v>
      </c>
      <c r="F175" s="1" t="s">
        <v>1257</v>
      </c>
      <c r="G175" s="1" t="s">
        <v>1258</v>
      </c>
      <c r="H175" s="4" t="s">
        <v>10</v>
      </c>
      <c r="I175" s="4" t="s">
        <v>116</v>
      </c>
      <c r="J175" s="12"/>
    </row>
    <row r="176" spans="1:10" x14ac:dyDescent="0.2">
      <c r="A176" s="4" t="s">
        <v>91</v>
      </c>
      <c r="B176" s="1">
        <v>3.5</v>
      </c>
      <c r="C176" s="1" t="s">
        <v>18</v>
      </c>
      <c r="D176" s="1" t="str">
        <f>"8/21"</f>
        <v>8/21</v>
      </c>
      <c r="E176" s="1">
        <v>1.6</v>
      </c>
      <c r="F176" s="1" t="s">
        <v>92</v>
      </c>
      <c r="G176" s="1" t="s">
        <v>93</v>
      </c>
      <c r="H176" s="4" t="s">
        <v>21</v>
      </c>
      <c r="I176" s="4" t="s">
        <v>94</v>
      </c>
      <c r="J176" s="12"/>
    </row>
    <row r="177" spans="1:10" x14ac:dyDescent="0.2">
      <c r="A177" s="4" t="s">
        <v>297</v>
      </c>
      <c r="B177" s="1">
        <v>3.5</v>
      </c>
      <c r="C177" s="1" t="s">
        <v>18</v>
      </c>
      <c r="D177" s="1" t="str">
        <f>"64/142"</f>
        <v>64/142</v>
      </c>
      <c r="E177" s="1">
        <v>1.7</v>
      </c>
      <c r="F177" s="1" t="s">
        <v>298</v>
      </c>
      <c r="G177" s="1" t="s">
        <v>299</v>
      </c>
      <c r="H177" s="4" t="s">
        <v>59</v>
      </c>
      <c r="I177" s="4" t="s">
        <v>242</v>
      </c>
      <c r="J177" s="12"/>
    </row>
    <row r="178" spans="1:10" x14ac:dyDescent="0.2">
      <c r="A178" s="4" t="s">
        <v>348</v>
      </c>
      <c r="B178" s="1">
        <v>3.5</v>
      </c>
      <c r="C178" s="1" t="s">
        <v>18</v>
      </c>
      <c r="D178" s="1" t="str">
        <f>"54/160"</f>
        <v>54/160</v>
      </c>
      <c r="E178" s="1">
        <v>1.3</v>
      </c>
      <c r="F178" s="1" t="s">
        <v>349</v>
      </c>
      <c r="G178" s="1" t="s">
        <v>350</v>
      </c>
      <c r="H178" s="4" t="s">
        <v>21</v>
      </c>
      <c r="I178" s="4" t="s">
        <v>90</v>
      </c>
      <c r="J178" s="12"/>
    </row>
    <row r="179" spans="1:10" x14ac:dyDescent="0.2">
      <c r="A179" s="4" t="s">
        <v>401</v>
      </c>
      <c r="B179" s="1">
        <v>3.5</v>
      </c>
      <c r="C179" s="1" t="s">
        <v>36</v>
      </c>
      <c r="D179" s="1" t="str">
        <f>"18/79"</f>
        <v>18/79</v>
      </c>
      <c r="E179" s="1">
        <v>0.7</v>
      </c>
      <c r="F179" s="1" t="s">
        <v>402</v>
      </c>
      <c r="G179" s="1" t="s">
        <v>403</v>
      </c>
      <c r="H179" s="4" t="s">
        <v>404</v>
      </c>
      <c r="I179" s="4" t="s">
        <v>405</v>
      </c>
      <c r="J179" s="12"/>
    </row>
    <row r="180" spans="1:10" x14ac:dyDescent="0.2">
      <c r="A180" s="4" t="s">
        <v>698</v>
      </c>
      <c r="B180" s="1">
        <v>3.5</v>
      </c>
      <c r="C180" s="1" t="s">
        <v>36</v>
      </c>
      <c r="D180" s="1" t="str">
        <f>"4/26"</f>
        <v>4/26</v>
      </c>
      <c r="E180" s="1">
        <v>0.6</v>
      </c>
      <c r="F180" s="1" t="s">
        <v>699</v>
      </c>
      <c r="G180" s="1" t="s">
        <v>700</v>
      </c>
      <c r="H180" s="4" t="s">
        <v>28</v>
      </c>
      <c r="I180" s="4" t="s">
        <v>133</v>
      </c>
      <c r="J180" s="12"/>
    </row>
    <row r="181" spans="1:10" ht="28.5" x14ac:dyDescent="0.2">
      <c r="A181" s="4" t="s">
        <v>1272</v>
      </c>
      <c r="B181" s="1">
        <v>3.5</v>
      </c>
      <c r="C181" s="1" t="s">
        <v>36</v>
      </c>
      <c r="D181" s="1" t="str">
        <f>"18/79"</f>
        <v>18/79</v>
      </c>
      <c r="E181" s="1">
        <v>0.5</v>
      </c>
      <c r="F181" s="1" t="s">
        <v>1273</v>
      </c>
      <c r="G181" s="1" t="s">
        <v>1274</v>
      </c>
      <c r="H181" s="4" t="s">
        <v>59</v>
      </c>
      <c r="I181" s="4" t="s">
        <v>1275</v>
      </c>
      <c r="J181" s="12"/>
    </row>
    <row r="182" spans="1:10" x14ac:dyDescent="0.2">
      <c r="A182" s="4" t="s">
        <v>127</v>
      </c>
      <c r="B182" s="1">
        <v>3.4</v>
      </c>
      <c r="C182" s="1" t="s">
        <v>18</v>
      </c>
      <c r="D182" s="1" t="str">
        <f>"29/85"</f>
        <v>29/85</v>
      </c>
      <c r="E182" s="1">
        <v>0.7</v>
      </c>
      <c r="F182" s="1" t="s">
        <v>128</v>
      </c>
      <c r="G182" s="1" t="s">
        <v>129</v>
      </c>
      <c r="H182" s="4" t="s">
        <v>21</v>
      </c>
      <c r="I182" s="4" t="s">
        <v>85</v>
      </c>
      <c r="J182" s="12"/>
    </row>
    <row r="183" spans="1:10" x14ac:dyDescent="0.2">
      <c r="A183" s="4" t="s">
        <v>144</v>
      </c>
      <c r="B183" s="1">
        <v>3.4</v>
      </c>
      <c r="C183" s="1" t="s">
        <v>13</v>
      </c>
      <c r="D183" s="1" t="str">
        <f>"174/344"</f>
        <v>174/344</v>
      </c>
      <c r="E183" s="1">
        <v>0.9</v>
      </c>
      <c r="F183" s="1" t="s">
        <v>145</v>
      </c>
      <c r="G183" s="1" t="s">
        <v>146</v>
      </c>
      <c r="H183" s="4" t="s">
        <v>64</v>
      </c>
      <c r="I183" s="4" t="s">
        <v>108</v>
      </c>
      <c r="J183" s="12"/>
    </row>
    <row r="184" spans="1:10" x14ac:dyDescent="0.2">
      <c r="A184" s="4" t="s">
        <v>288</v>
      </c>
      <c r="B184" s="1">
        <v>3.4</v>
      </c>
      <c r="C184" s="1" t="s">
        <v>13</v>
      </c>
      <c r="D184" s="1" t="str">
        <f>"174/344"</f>
        <v>174/344</v>
      </c>
      <c r="E184" s="1">
        <v>0.9</v>
      </c>
      <c r="F184" s="1" t="s">
        <v>289</v>
      </c>
      <c r="G184" s="1" t="s">
        <v>289</v>
      </c>
      <c r="H184" s="4" t="s">
        <v>28</v>
      </c>
      <c r="I184" s="4" t="s">
        <v>290</v>
      </c>
      <c r="J184" s="12"/>
    </row>
    <row r="185" spans="1:10" x14ac:dyDescent="0.2">
      <c r="A185" s="4" t="s">
        <v>548</v>
      </c>
      <c r="B185" s="1">
        <v>3.4</v>
      </c>
      <c r="C185" s="1" t="s">
        <v>18</v>
      </c>
      <c r="D185" s="1" t="str">
        <f>"20/79"</f>
        <v>20/79</v>
      </c>
      <c r="E185" s="1">
        <v>1</v>
      </c>
      <c r="F185" s="1" t="s">
        <v>549</v>
      </c>
      <c r="G185" s="1" t="s">
        <v>549</v>
      </c>
      <c r="H185" s="4" t="s">
        <v>39</v>
      </c>
      <c r="I185" s="4" t="s">
        <v>358</v>
      </c>
      <c r="J185" s="12"/>
    </row>
    <row r="186" spans="1:10" ht="28.5" x14ac:dyDescent="0.2">
      <c r="A186" s="4" t="s">
        <v>820</v>
      </c>
      <c r="B186" s="1">
        <v>3.4</v>
      </c>
      <c r="C186" s="1" t="s">
        <v>13</v>
      </c>
      <c r="D186" s="1" t="str">
        <f>"53/96"</f>
        <v>53/96</v>
      </c>
      <c r="E186" s="1">
        <v>0.4</v>
      </c>
      <c r="F186" s="1" t="s">
        <v>821</v>
      </c>
      <c r="G186" s="1" t="s">
        <v>822</v>
      </c>
      <c r="H186" s="4" t="s">
        <v>28</v>
      </c>
      <c r="I186" s="4" t="s">
        <v>112</v>
      </c>
      <c r="J186" s="12"/>
    </row>
    <row r="187" spans="1:10" x14ac:dyDescent="0.2">
      <c r="A187" s="4" t="s">
        <v>926</v>
      </c>
      <c r="B187" s="1">
        <v>3.4</v>
      </c>
      <c r="C187" s="1" t="s">
        <v>18</v>
      </c>
      <c r="D187" s="1" t="str">
        <f>"67/142"</f>
        <v>67/142</v>
      </c>
      <c r="E187" s="1">
        <v>0.9</v>
      </c>
      <c r="F187" s="1" t="s">
        <v>927</v>
      </c>
      <c r="G187" s="1" t="s">
        <v>928</v>
      </c>
      <c r="H187" s="4" t="s">
        <v>21</v>
      </c>
      <c r="I187" s="4" t="s">
        <v>272</v>
      </c>
      <c r="J187" s="12"/>
    </row>
    <row r="188" spans="1:10" x14ac:dyDescent="0.2">
      <c r="A188" s="4" t="s">
        <v>994</v>
      </c>
      <c r="B188" s="1">
        <v>3.4</v>
      </c>
      <c r="C188" s="1" t="s">
        <v>18</v>
      </c>
      <c r="D188" s="1" t="str">
        <f>"32/90"</f>
        <v>32/90</v>
      </c>
      <c r="E188" s="1">
        <v>0.5</v>
      </c>
      <c r="F188" s="1" t="s">
        <v>995</v>
      </c>
      <c r="G188" s="1" t="s">
        <v>996</v>
      </c>
      <c r="H188" s="4" t="s">
        <v>28</v>
      </c>
      <c r="I188" s="4" t="s">
        <v>108</v>
      </c>
      <c r="J188" s="12"/>
    </row>
    <row r="189" spans="1:10" x14ac:dyDescent="0.2">
      <c r="A189" s="4" t="s">
        <v>1095</v>
      </c>
      <c r="B189" s="1">
        <v>3.4</v>
      </c>
      <c r="C189" s="1" t="s">
        <v>18</v>
      </c>
      <c r="D189" s="1" t="str">
        <f>"57/160"</f>
        <v>57/160</v>
      </c>
      <c r="E189" s="1">
        <v>0.8</v>
      </c>
      <c r="F189" s="1" t="s">
        <v>1096</v>
      </c>
      <c r="G189" s="1" t="s">
        <v>1096</v>
      </c>
      <c r="H189" s="4" t="s">
        <v>39</v>
      </c>
      <c r="I189" s="4" t="s">
        <v>358</v>
      </c>
      <c r="J189" s="12"/>
    </row>
    <row r="190" spans="1:10" x14ac:dyDescent="0.2">
      <c r="A190" s="4" t="s">
        <v>1152</v>
      </c>
      <c r="B190" s="1">
        <v>3.4</v>
      </c>
      <c r="C190" s="1" t="s">
        <v>36</v>
      </c>
      <c r="D190" s="1" t="str">
        <f>"6/29"</f>
        <v>6/29</v>
      </c>
      <c r="E190" s="1">
        <v>1.4</v>
      </c>
      <c r="F190" s="1" t="s">
        <v>1153</v>
      </c>
      <c r="G190" s="1" t="s">
        <v>1154</v>
      </c>
      <c r="H190" s="4" t="s">
        <v>64</v>
      </c>
      <c r="I190" s="4" t="s">
        <v>60</v>
      </c>
      <c r="J190" s="12"/>
    </row>
    <row r="191" spans="1:10" x14ac:dyDescent="0.2">
      <c r="A191" s="4" t="s">
        <v>168</v>
      </c>
      <c r="B191" s="1">
        <v>3.3</v>
      </c>
      <c r="C191" s="1" t="s">
        <v>18</v>
      </c>
      <c r="D191" s="1" t="str">
        <f>"21/79"</f>
        <v>21/79</v>
      </c>
      <c r="E191" s="1">
        <v>0.9</v>
      </c>
      <c r="F191" s="1" t="s">
        <v>169</v>
      </c>
      <c r="G191" s="1" t="s">
        <v>170</v>
      </c>
      <c r="H191" s="4" t="s">
        <v>21</v>
      </c>
      <c r="I191" s="4" t="s">
        <v>22</v>
      </c>
      <c r="J191" s="12"/>
    </row>
    <row r="192" spans="1:10" x14ac:dyDescent="0.2">
      <c r="A192" s="4" t="s">
        <v>606</v>
      </c>
      <c r="B192" s="1">
        <v>3.3</v>
      </c>
      <c r="C192" s="1" t="s">
        <v>18</v>
      </c>
      <c r="D192" s="1" t="str">
        <f>"13/28"</f>
        <v>13/28</v>
      </c>
      <c r="E192" s="1">
        <v>1.7</v>
      </c>
      <c r="F192" s="1" t="s">
        <v>607</v>
      </c>
      <c r="G192" s="1" t="s">
        <v>608</v>
      </c>
      <c r="H192" s="4" t="s">
        <v>21</v>
      </c>
      <c r="I192" s="4" t="s">
        <v>68</v>
      </c>
      <c r="J192" s="12"/>
    </row>
    <row r="193" spans="1:10" x14ac:dyDescent="0.2">
      <c r="A193" s="4" t="s">
        <v>932</v>
      </c>
      <c r="B193" s="1">
        <v>3.3</v>
      </c>
      <c r="C193" s="1" t="s">
        <v>13</v>
      </c>
      <c r="D193" s="1" t="str">
        <f>"182/344"</f>
        <v>182/344</v>
      </c>
      <c r="E193" s="1">
        <v>0.4</v>
      </c>
      <c r="F193" s="1" t="s">
        <v>933</v>
      </c>
      <c r="G193" s="1" t="s">
        <v>934</v>
      </c>
      <c r="H193" s="4" t="s">
        <v>10</v>
      </c>
      <c r="I193" s="4" t="s">
        <v>34</v>
      </c>
      <c r="J193" s="12"/>
    </row>
    <row r="194" spans="1:10" x14ac:dyDescent="0.2">
      <c r="A194" s="4" t="s">
        <v>1069</v>
      </c>
      <c r="B194" s="1">
        <v>3.3</v>
      </c>
      <c r="C194" s="1" t="s">
        <v>13</v>
      </c>
      <c r="D194" s="1" t="str">
        <f>"182/344"</f>
        <v>182/344</v>
      </c>
      <c r="E194" s="1">
        <v>0.7</v>
      </c>
      <c r="F194" s="1" t="s">
        <v>1070</v>
      </c>
      <c r="G194" s="1" t="s">
        <v>1071</v>
      </c>
      <c r="H194" s="4" t="s">
        <v>64</v>
      </c>
      <c r="I194" s="4" t="s">
        <v>60</v>
      </c>
      <c r="J194" s="12"/>
    </row>
    <row r="195" spans="1:10" x14ac:dyDescent="0.2">
      <c r="A195" s="4" t="s">
        <v>768</v>
      </c>
      <c r="B195" s="1">
        <v>3.2</v>
      </c>
      <c r="C195" s="1" t="s">
        <v>36</v>
      </c>
      <c r="D195" s="1" t="str">
        <f>"5/26"</f>
        <v>5/26</v>
      </c>
      <c r="E195" s="1">
        <v>0.4</v>
      </c>
      <c r="F195" s="1" t="s">
        <v>769</v>
      </c>
      <c r="G195" s="1" t="s">
        <v>770</v>
      </c>
      <c r="H195" s="4" t="s">
        <v>28</v>
      </c>
      <c r="I195" s="4" t="s">
        <v>771</v>
      </c>
      <c r="J195" s="12"/>
    </row>
    <row r="196" spans="1:10" ht="28.5" x14ac:dyDescent="0.2">
      <c r="A196" s="4" t="s">
        <v>877</v>
      </c>
      <c r="B196" s="1">
        <v>3.2</v>
      </c>
      <c r="C196" s="1" t="s">
        <v>18</v>
      </c>
      <c r="D196" s="1" t="str">
        <f>"36/86"</f>
        <v>36/86</v>
      </c>
      <c r="E196" s="1">
        <v>0.6</v>
      </c>
      <c r="F196" s="1" t="s">
        <v>878</v>
      </c>
      <c r="G196" s="1" t="s">
        <v>879</v>
      </c>
      <c r="H196" s="4" t="s">
        <v>28</v>
      </c>
      <c r="I196" s="4" t="s">
        <v>880</v>
      </c>
      <c r="J196" s="12"/>
    </row>
    <row r="197" spans="1:10" x14ac:dyDescent="0.2">
      <c r="A197" s="4" t="s">
        <v>989</v>
      </c>
      <c r="B197" s="1">
        <v>3.2</v>
      </c>
      <c r="C197" s="1" t="s">
        <v>13</v>
      </c>
      <c r="D197" s="1" t="str">
        <f>"185/344"</f>
        <v>185/344</v>
      </c>
      <c r="E197" s="1">
        <v>0.7</v>
      </c>
      <c r="F197" s="1" t="s">
        <v>990</v>
      </c>
      <c r="G197" s="1" t="s">
        <v>990</v>
      </c>
      <c r="H197" s="4" t="s">
        <v>39</v>
      </c>
      <c r="I197" s="4" t="s">
        <v>991</v>
      </c>
      <c r="J197" s="12"/>
    </row>
    <row r="198" spans="1:10" x14ac:dyDescent="0.2">
      <c r="A198" s="4" t="s">
        <v>1056</v>
      </c>
      <c r="B198" s="1">
        <v>3.2</v>
      </c>
      <c r="C198" s="1" t="s">
        <v>18</v>
      </c>
      <c r="D198" s="1" t="str">
        <f>"22/79"</f>
        <v>22/79</v>
      </c>
      <c r="E198" s="1">
        <v>0.5</v>
      </c>
      <c r="F198" s="1" t="s">
        <v>1057</v>
      </c>
      <c r="G198" s="1" t="s">
        <v>1058</v>
      </c>
      <c r="H198" s="4" t="s">
        <v>21</v>
      </c>
      <c r="I198" s="4" t="s">
        <v>259</v>
      </c>
      <c r="J198" s="12"/>
    </row>
    <row r="199" spans="1:10" x14ac:dyDescent="0.2">
      <c r="A199" s="4" t="s">
        <v>473</v>
      </c>
      <c r="B199" s="1">
        <v>3.1</v>
      </c>
      <c r="C199" s="1" t="s">
        <v>13</v>
      </c>
      <c r="D199" s="1" t="str">
        <f>"188/344"</f>
        <v>188/344</v>
      </c>
      <c r="E199" s="1">
        <v>1</v>
      </c>
      <c r="F199" s="1" t="s">
        <v>474</v>
      </c>
      <c r="G199" s="1" t="s">
        <v>475</v>
      </c>
      <c r="H199" s="4" t="s">
        <v>21</v>
      </c>
      <c r="I199" s="4" t="s">
        <v>22</v>
      </c>
      <c r="J199" s="12"/>
    </row>
    <row r="200" spans="1:10" x14ac:dyDescent="0.2">
      <c r="A200" s="4" t="s">
        <v>609</v>
      </c>
      <c r="B200" s="1">
        <v>3.1</v>
      </c>
      <c r="C200" s="1" t="s">
        <v>13</v>
      </c>
      <c r="D200" s="1" t="str">
        <f>"11/21"</f>
        <v>11/21</v>
      </c>
      <c r="E200" s="1">
        <v>0.9</v>
      </c>
      <c r="F200" s="1" t="s">
        <v>610</v>
      </c>
      <c r="G200" s="1" t="s">
        <v>611</v>
      </c>
      <c r="H200" s="4" t="s">
        <v>28</v>
      </c>
      <c r="I200" s="4" t="s">
        <v>108</v>
      </c>
      <c r="J200" s="12"/>
    </row>
    <row r="201" spans="1:10" x14ac:dyDescent="0.2">
      <c r="A201" s="4" t="s">
        <v>667</v>
      </c>
      <c r="B201" s="1">
        <v>3.1</v>
      </c>
      <c r="C201" s="1" t="s">
        <v>18</v>
      </c>
      <c r="D201" s="1" t="str">
        <f>"40/86"</f>
        <v>40/86</v>
      </c>
      <c r="E201" s="1">
        <v>0.4</v>
      </c>
      <c r="F201" s="1" t="s">
        <v>668</v>
      </c>
      <c r="G201" s="1" t="s">
        <v>669</v>
      </c>
      <c r="H201" s="4" t="s">
        <v>21</v>
      </c>
      <c r="I201" s="4" t="s">
        <v>68</v>
      </c>
      <c r="J201" s="12"/>
    </row>
    <row r="202" spans="1:10" x14ac:dyDescent="0.2">
      <c r="A202" s="4" t="s">
        <v>676</v>
      </c>
      <c r="B202" s="1">
        <v>3.1</v>
      </c>
      <c r="C202" s="1" t="s">
        <v>13</v>
      </c>
      <c r="D202" s="1" t="str">
        <f>"11/21"</f>
        <v>11/21</v>
      </c>
      <c r="E202" s="1">
        <v>0.3</v>
      </c>
      <c r="F202" s="1" t="s">
        <v>677</v>
      </c>
      <c r="G202" s="1" t="s">
        <v>678</v>
      </c>
      <c r="H202" s="4" t="s">
        <v>21</v>
      </c>
      <c r="I202" s="4" t="s">
        <v>68</v>
      </c>
      <c r="J202" s="12"/>
    </row>
    <row r="203" spans="1:10" x14ac:dyDescent="0.2">
      <c r="A203" s="4" t="s">
        <v>992</v>
      </c>
      <c r="B203" s="1">
        <v>3.1</v>
      </c>
      <c r="C203" s="1" t="s">
        <v>13</v>
      </c>
      <c r="D203" s="1" t="str">
        <f>"188/344"</f>
        <v>188/344</v>
      </c>
      <c r="E203" s="1">
        <v>1.1000000000000001</v>
      </c>
      <c r="F203" s="1" t="s">
        <v>993</v>
      </c>
      <c r="G203" s="1" t="s">
        <v>993</v>
      </c>
      <c r="H203" s="4" t="s">
        <v>21</v>
      </c>
      <c r="I203" s="4" t="s">
        <v>90</v>
      </c>
      <c r="J203" s="12"/>
    </row>
    <row r="204" spans="1:10" ht="28.5" x14ac:dyDescent="0.2">
      <c r="A204" s="4" t="s">
        <v>1016</v>
      </c>
      <c r="B204" s="1">
        <v>3.1</v>
      </c>
      <c r="C204" s="1" t="s">
        <v>36</v>
      </c>
      <c r="D204" s="1" t="str">
        <f>"21/86"</f>
        <v>21/86</v>
      </c>
      <c r="E204" s="1">
        <v>0.6</v>
      </c>
      <c r="F204" s="1" t="s">
        <v>1017</v>
      </c>
      <c r="G204" s="1" t="s">
        <v>1017</v>
      </c>
      <c r="H204" s="4" t="s">
        <v>39</v>
      </c>
      <c r="I204" s="4" t="s">
        <v>1018</v>
      </c>
      <c r="J204" s="12"/>
    </row>
    <row r="205" spans="1:10" x14ac:dyDescent="0.2">
      <c r="A205" s="4" t="s">
        <v>1182</v>
      </c>
      <c r="B205" s="1">
        <v>3.1</v>
      </c>
      <c r="C205" s="1" t="s">
        <v>18</v>
      </c>
      <c r="D205" s="1" t="str">
        <f>"66/160"</f>
        <v>66/160</v>
      </c>
      <c r="E205" s="1">
        <v>0.5</v>
      </c>
      <c r="F205" s="1" t="s">
        <v>1183</v>
      </c>
      <c r="G205" s="1" t="s">
        <v>1183</v>
      </c>
      <c r="H205" s="4" t="s">
        <v>10</v>
      </c>
      <c r="I205" s="4" t="s">
        <v>1184</v>
      </c>
      <c r="J205" s="12"/>
    </row>
    <row r="206" spans="1:10" ht="28.5" x14ac:dyDescent="0.2">
      <c r="A206" s="4" t="s">
        <v>415</v>
      </c>
      <c r="B206" s="1">
        <v>3</v>
      </c>
      <c r="C206" s="1" t="s">
        <v>18</v>
      </c>
      <c r="D206" s="1" t="str">
        <f>"23/79"</f>
        <v>23/79</v>
      </c>
      <c r="E206" s="1">
        <v>0.7</v>
      </c>
      <c r="F206" s="1" t="s">
        <v>416</v>
      </c>
      <c r="G206" s="1" t="s">
        <v>417</v>
      </c>
      <c r="H206" s="4" t="s">
        <v>28</v>
      </c>
      <c r="I206" s="4" t="s">
        <v>108</v>
      </c>
      <c r="J206" s="12"/>
    </row>
    <row r="207" spans="1:10" x14ac:dyDescent="0.2">
      <c r="A207" s="4" t="s">
        <v>513</v>
      </c>
      <c r="B207" s="1">
        <v>3</v>
      </c>
      <c r="C207" s="1" t="s">
        <v>18</v>
      </c>
      <c r="D207" s="1" t="str">
        <f>"69/160"</f>
        <v>69/160</v>
      </c>
      <c r="E207" s="1">
        <v>0.8</v>
      </c>
      <c r="F207" s="1" t="s">
        <v>514</v>
      </c>
      <c r="G207" s="1" t="s">
        <v>515</v>
      </c>
      <c r="H207" s="4" t="s">
        <v>64</v>
      </c>
      <c r="I207" s="4" t="s">
        <v>60</v>
      </c>
      <c r="J207" s="12"/>
    </row>
    <row r="208" spans="1:10" x14ac:dyDescent="0.2">
      <c r="A208" s="4" t="s">
        <v>406</v>
      </c>
      <c r="B208" s="1">
        <v>2.9</v>
      </c>
      <c r="C208" s="1" t="s">
        <v>18</v>
      </c>
      <c r="D208" s="1" t="str">
        <f>"24/79"</f>
        <v>24/79</v>
      </c>
      <c r="E208" s="1">
        <v>0.7</v>
      </c>
      <c r="F208" s="1" t="s">
        <v>407</v>
      </c>
      <c r="G208" s="1" t="s">
        <v>407</v>
      </c>
      <c r="H208" s="4" t="s">
        <v>39</v>
      </c>
      <c r="I208" s="4" t="s">
        <v>358</v>
      </c>
      <c r="J208" s="12"/>
    </row>
    <row r="209" spans="1:10" x14ac:dyDescent="0.2">
      <c r="A209" s="4" t="s">
        <v>603</v>
      </c>
      <c r="B209" s="1">
        <v>2.9</v>
      </c>
      <c r="C209" s="1" t="s">
        <v>18</v>
      </c>
      <c r="D209" s="1" t="str">
        <f>"72/160"</f>
        <v>72/160</v>
      </c>
      <c r="E209" s="1">
        <v>0.8</v>
      </c>
      <c r="F209" s="1" t="s">
        <v>604</v>
      </c>
      <c r="G209" s="1" t="s">
        <v>605</v>
      </c>
      <c r="H209" s="4" t="s">
        <v>28</v>
      </c>
      <c r="I209" s="4" t="s">
        <v>602</v>
      </c>
      <c r="J209" s="12"/>
    </row>
    <row r="210" spans="1:10" x14ac:dyDescent="0.2">
      <c r="A210" s="4" t="s">
        <v>786</v>
      </c>
      <c r="B210" s="1">
        <v>2.9</v>
      </c>
      <c r="C210" s="1" t="s">
        <v>36</v>
      </c>
      <c r="D210" s="1" t="str">
        <f>"6/26"</f>
        <v>6/26</v>
      </c>
      <c r="E210" s="1">
        <v>0.4</v>
      </c>
      <c r="F210" s="1" t="s">
        <v>787</v>
      </c>
      <c r="G210" s="1" t="s">
        <v>787</v>
      </c>
      <c r="H210" s="4" t="s">
        <v>28</v>
      </c>
      <c r="I210" s="4" t="s">
        <v>68</v>
      </c>
      <c r="J210" s="12"/>
    </row>
    <row r="211" spans="1:10" x14ac:dyDescent="0.2">
      <c r="A211" s="4" t="s">
        <v>804</v>
      </c>
      <c r="B211" s="1">
        <v>2.9</v>
      </c>
      <c r="C211" s="1" t="s">
        <v>13</v>
      </c>
      <c r="D211" s="1" t="str">
        <f>"15/28"</f>
        <v>15/28</v>
      </c>
      <c r="E211" s="1">
        <v>0.5</v>
      </c>
      <c r="F211" s="1" t="s">
        <v>805</v>
      </c>
      <c r="G211" s="1" t="s">
        <v>806</v>
      </c>
      <c r="H211" s="4" t="s">
        <v>21</v>
      </c>
      <c r="I211" s="4" t="s">
        <v>68</v>
      </c>
      <c r="J211" s="12"/>
    </row>
    <row r="212" spans="1:10" x14ac:dyDescent="0.2">
      <c r="A212" s="4" t="s">
        <v>1267</v>
      </c>
      <c r="B212" s="1">
        <v>2.9</v>
      </c>
      <c r="C212" s="1" t="s">
        <v>13</v>
      </c>
      <c r="D212" s="1" t="str">
        <f>"15/28"</f>
        <v>15/28</v>
      </c>
      <c r="E212" s="1">
        <v>0.5</v>
      </c>
      <c r="F212" s="1" t="s">
        <v>1268</v>
      </c>
      <c r="G212" s="1" t="s">
        <v>1269</v>
      </c>
      <c r="H212" s="4" t="s">
        <v>21</v>
      </c>
      <c r="I212" s="4" t="s">
        <v>22</v>
      </c>
      <c r="J212" s="12"/>
    </row>
    <row r="213" spans="1:10" x14ac:dyDescent="0.2">
      <c r="A213" s="4" t="s">
        <v>95</v>
      </c>
      <c r="B213" s="1">
        <v>2.8</v>
      </c>
      <c r="C213" s="1" t="s">
        <v>13</v>
      </c>
      <c r="D213" s="1" t="str">
        <f>"14/21"</f>
        <v>14/21</v>
      </c>
      <c r="E213" s="1">
        <v>0.6</v>
      </c>
      <c r="F213" s="1" t="s">
        <v>96</v>
      </c>
      <c r="G213" s="1" t="s">
        <v>97</v>
      </c>
      <c r="H213" s="4" t="s">
        <v>21</v>
      </c>
      <c r="I213" s="4" t="s">
        <v>22</v>
      </c>
      <c r="J213" s="12"/>
    </row>
    <row r="214" spans="1:10" x14ac:dyDescent="0.2">
      <c r="A214" s="4" t="s">
        <v>307</v>
      </c>
      <c r="B214" s="1">
        <v>2.8</v>
      </c>
      <c r="C214" s="1" t="s">
        <v>18</v>
      </c>
      <c r="D214" s="1" t="str">
        <f>"46/100"</f>
        <v>46/100</v>
      </c>
      <c r="E214" s="1">
        <v>1.4</v>
      </c>
      <c r="F214" s="1" t="s">
        <v>308</v>
      </c>
      <c r="G214" s="1" t="s">
        <v>308</v>
      </c>
      <c r="H214" s="4" t="s">
        <v>28</v>
      </c>
      <c r="I214" s="4" t="s">
        <v>309</v>
      </c>
      <c r="J214" s="12"/>
    </row>
    <row r="215" spans="1:10" x14ac:dyDescent="0.2">
      <c r="A215" s="4" t="s">
        <v>395</v>
      </c>
      <c r="B215" s="1">
        <v>2.8</v>
      </c>
      <c r="C215" s="1" t="s">
        <v>36</v>
      </c>
      <c r="D215" s="1" t="str">
        <f>"1/8"</f>
        <v>1/8</v>
      </c>
      <c r="E215" s="1">
        <v>0.6</v>
      </c>
      <c r="F215" s="1" t="s">
        <v>396</v>
      </c>
      <c r="G215" s="1" t="s">
        <v>397</v>
      </c>
      <c r="H215" s="4" t="s">
        <v>28</v>
      </c>
      <c r="I215" s="4" t="s">
        <v>208</v>
      </c>
      <c r="J215" s="12"/>
    </row>
    <row r="216" spans="1:10" ht="28.5" x14ac:dyDescent="0.2">
      <c r="A216" s="4" t="s">
        <v>418</v>
      </c>
      <c r="B216" s="1">
        <v>2.8</v>
      </c>
      <c r="C216" s="1" t="s">
        <v>18</v>
      </c>
      <c r="D216" s="1" t="str">
        <f>"25/79"</f>
        <v>25/79</v>
      </c>
      <c r="E216" s="1">
        <v>0.5</v>
      </c>
      <c r="F216" s="1" t="s">
        <v>419</v>
      </c>
      <c r="G216" s="1" t="s">
        <v>420</v>
      </c>
      <c r="H216" s="4" t="s">
        <v>28</v>
      </c>
      <c r="I216" s="4" t="s">
        <v>108</v>
      </c>
      <c r="J216" s="12"/>
    </row>
    <row r="217" spans="1:10" x14ac:dyDescent="0.2">
      <c r="A217" s="4" t="s">
        <v>437</v>
      </c>
      <c r="B217" s="1">
        <v>2.8</v>
      </c>
      <c r="C217" s="1" t="s">
        <v>18</v>
      </c>
      <c r="D217" s="1" t="str">
        <f>"10/32"</f>
        <v>10/32</v>
      </c>
      <c r="E217" s="1">
        <v>0.7</v>
      </c>
      <c r="F217" s="1" t="s">
        <v>438</v>
      </c>
      <c r="G217" s="1" t="s">
        <v>439</v>
      </c>
      <c r="H217" s="4" t="s">
        <v>21</v>
      </c>
      <c r="I217" s="4" t="s">
        <v>133</v>
      </c>
      <c r="J217" s="12"/>
    </row>
    <row r="218" spans="1:10" x14ac:dyDescent="0.2">
      <c r="A218" s="4" t="s">
        <v>690</v>
      </c>
      <c r="B218" s="1">
        <v>2.8</v>
      </c>
      <c r="C218" s="1" t="s">
        <v>18</v>
      </c>
      <c r="D218" s="1" t="str">
        <f>"10/32"</f>
        <v>10/32</v>
      </c>
      <c r="E218" s="1">
        <v>0.6</v>
      </c>
      <c r="F218" s="1" t="s">
        <v>691</v>
      </c>
      <c r="G218" s="1" t="s">
        <v>692</v>
      </c>
      <c r="H218" s="4" t="s">
        <v>28</v>
      </c>
      <c r="I218" s="4" t="s">
        <v>693</v>
      </c>
      <c r="J218" s="12"/>
    </row>
    <row r="219" spans="1:10" x14ac:dyDescent="0.2">
      <c r="A219" s="4" t="s">
        <v>717</v>
      </c>
      <c r="B219" s="1">
        <v>2.8</v>
      </c>
      <c r="C219" s="1" t="s">
        <v>18</v>
      </c>
      <c r="D219" s="1" t="str">
        <f>"75/160"</f>
        <v>75/160</v>
      </c>
      <c r="E219" s="1">
        <v>0.7</v>
      </c>
      <c r="F219" s="1" t="s">
        <v>718</v>
      </c>
      <c r="G219" s="1" t="s">
        <v>719</v>
      </c>
      <c r="H219" s="4" t="s">
        <v>64</v>
      </c>
      <c r="I219" s="4" t="s">
        <v>108</v>
      </c>
      <c r="J219" s="12"/>
    </row>
    <row r="220" spans="1:10" x14ac:dyDescent="0.2">
      <c r="A220" s="4" t="s">
        <v>88</v>
      </c>
      <c r="B220" s="1">
        <v>2.7</v>
      </c>
      <c r="C220" s="1" t="s">
        <v>18</v>
      </c>
      <c r="D220" s="1" t="str">
        <f>"59/136"</f>
        <v>59/136</v>
      </c>
      <c r="E220" s="1">
        <v>0.8</v>
      </c>
      <c r="F220" s="1" t="s">
        <v>89</v>
      </c>
      <c r="G220" s="1" t="s">
        <v>89</v>
      </c>
      <c r="H220" s="4" t="s">
        <v>21</v>
      </c>
      <c r="I220" s="4" t="s">
        <v>90</v>
      </c>
      <c r="J220" s="12"/>
    </row>
    <row r="221" spans="1:10" x14ac:dyDescent="0.2">
      <c r="A221" s="4" t="s">
        <v>300</v>
      </c>
      <c r="B221" s="1">
        <v>2.7</v>
      </c>
      <c r="C221" s="1" t="s">
        <v>13</v>
      </c>
      <c r="D221" s="1" t="str">
        <f>"208/344"</f>
        <v>208/344</v>
      </c>
      <c r="E221" s="1">
        <v>0.6</v>
      </c>
      <c r="F221" s="1" t="s">
        <v>301</v>
      </c>
      <c r="G221" s="1" t="s">
        <v>302</v>
      </c>
      <c r="H221" s="4" t="s">
        <v>10</v>
      </c>
      <c r="I221" s="4" t="s">
        <v>116</v>
      </c>
      <c r="J221" s="12"/>
    </row>
    <row r="222" spans="1:10" x14ac:dyDescent="0.2">
      <c r="A222" s="4" t="s">
        <v>565</v>
      </c>
      <c r="B222" s="1">
        <v>2.7</v>
      </c>
      <c r="C222" s="1" t="s">
        <v>18</v>
      </c>
      <c r="D222" s="1" t="str">
        <f>"33/68"</f>
        <v>33/68</v>
      </c>
      <c r="E222" s="1">
        <v>0.8</v>
      </c>
      <c r="F222" s="1" t="s">
        <v>566</v>
      </c>
      <c r="G222" s="1" t="s">
        <v>567</v>
      </c>
      <c r="H222" s="4" t="s">
        <v>21</v>
      </c>
      <c r="I222" s="4" t="s">
        <v>94</v>
      </c>
      <c r="J222" s="12"/>
    </row>
    <row r="223" spans="1:10" x14ac:dyDescent="0.2">
      <c r="A223" s="4" t="s">
        <v>596</v>
      </c>
      <c r="B223" s="1">
        <v>2.7</v>
      </c>
      <c r="C223" s="1" t="s">
        <v>18</v>
      </c>
      <c r="D223" s="1" t="str">
        <f>"7/26"</f>
        <v>7/26</v>
      </c>
      <c r="E223" s="1">
        <v>0.9</v>
      </c>
      <c r="F223" s="1" t="s">
        <v>597</v>
      </c>
      <c r="G223" s="1" t="s">
        <v>598</v>
      </c>
      <c r="H223" s="4" t="s">
        <v>28</v>
      </c>
      <c r="I223" s="4" t="s">
        <v>112</v>
      </c>
      <c r="J223" s="12"/>
    </row>
    <row r="224" spans="1:10" x14ac:dyDescent="0.2">
      <c r="A224" s="4" t="s">
        <v>730</v>
      </c>
      <c r="B224" s="1">
        <v>2.7</v>
      </c>
      <c r="C224" s="1" t="s">
        <v>13</v>
      </c>
      <c r="D224" s="1" t="str">
        <f>"208/344"</f>
        <v>208/344</v>
      </c>
      <c r="E224" s="1">
        <v>0.6</v>
      </c>
      <c r="F224" s="1" t="s">
        <v>731</v>
      </c>
      <c r="G224" s="1" t="s">
        <v>732</v>
      </c>
      <c r="H224" s="4" t="s">
        <v>10</v>
      </c>
      <c r="I224" s="4" t="s">
        <v>34</v>
      </c>
      <c r="J224" s="12"/>
    </row>
    <row r="225" spans="1:10" x14ac:dyDescent="0.2">
      <c r="A225" s="4" t="s">
        <v>760</v>
      </c>
      <c r="B225" s="1">
        <v>2.7</v>
      </c>
      <c r="C225" s="1" t="s">
        <v>13</v>
      </c>
      <c r="D225" s="1" t="str">
        <f>"208/344"</f>
        <v>208/344</v>
      </c>
      <c r="E225" s="1">
        <v>0.5</v>
      </c>
      <c r="F225" s="1" t="s">
        <v>761</v>
      </c>
      <c r="G225" s="1" t="s">
        <v>762</v>
      </c>
      <c r="H225" s="4" t="s">
        <v>21</v>
      </c>
      <c r="I225" s="4" t="s">
        <v>68</v>
      </c>
      <c r="J225" s="12"/>
    </row>
    <row r="226" spans="1:10" x14ac:dyDescent="0.2">
      <c r="A226" s="4" t="s">
        <v>985</v>
      </c>
      <c r="B226" s="1">
        <v>2.7</v>
      </c>
      <c r="C226" s="1" t="s">
        <v>13</v>
      </c>
      <c r="D226" s="1" t="str">
        <f>"208/344"</f>
        <v>208/344</v>
      </c>
      <c r="E226" s="1">
        <v>0.5</v>
      </c>
      <c r="F226" s="1" t="s">
        <v>986</v>
      </c>
      <c r="G226" s="1" t="s">
        <v>987</v>
      </c>
      <c r="H226" s="4" t="s">
        <v>59</v>
      </c>
      <c r="I226" s="4" t="s">
        <v>988</v>
      </c>
      <c r="J226" s="12"/>
    </row>
    <row r="227" spans="1:10" x14ac:dyDescent="0.2">
      <c r="A227" s="4" t="s">
        <v>1051</v>
      </c>
      <c r="B227" s="1">
        <v>2.7</v>
      </c>
      <c r="C227" s="1" t="s">
        <v>18</v>
      </c>
      <c r="D227" s="1" t="str">
        <f>"9/26"</f>
        <v>9/26</v>
      </c>
      <c r="E227" s="1">
        <v>0.7</v>
      </c>
      <c r="F227" s="1" t="s">
        <v>1052</v>
      </c>
      <c r="G227" s="1" t="s">
        <v>1052</v>
      </c>
      <c r="H227" s="4" t="s">
        <v>39</v>
      </c>
      <c r="I227" s="4" t="s">
        <v>358</v>
      </c>
      <c r="J227" s="12"/>
    </row>
    <row r="228" spans="1:10" x14ac:dyDescent="0.2">
      <c r="A228" s="4" t="s">
        <v>233</v>
      </c>
      <c r="B228" s="1">
        <v>2.6</v>
      </c>
      <c r="C228" s="1" t="s">
        <v>13</v>
      </c>
      <c r="D228" s="1" t="str">
        <f>"48/86"</f>
        <v>48/86</v>
      </c>
      <c r="E228" s="1">
        <v>0.2</v>
      </c>
      <c r="F228" s="1" t="s">
        <v>234</v>
      </c>
      <c r="G228" s="1" t="s">
        <v>235</v>
      </c>
      <c r="H228" s="4" t="s">
        <v>21</v>
      </c>
      <c r="I228" s="4" t="s">
        <v>68</v>
      </c>
      <c r="J228" s="12"/>
    </row>
    <row r="229" spans="1:10" x14ac:dyDescent="0.2">
      <c r="A229" s="4" t="s">
        <v>328</v>
      </c>
      <c r="B229" s="1">
        <v>2.6</v>
      </c>
      <c r="C229" s="1" t="s">
        <v>18</v>
      </c>
      <c r="D229" s="1" t="str">
        <f>"12/32"</f>
        <v>12/32</v>
      </c>
      <c r="E229" s="1">
        <v>0.5</v>
      </c>
      <c r="F229" s="1" t="s">
        <v>329</v>
      </c>
      <c r="G229" s="1" t="s">
        <v>330</v>
      </c>
      <c r="H229" s="4" t="s">
        <v>21</v>
      </c>
      <c r="I229" s="4" t="s">
        <v>22</v>
      </c>
      <c r="J229" s="12"/>
    </row>
    <row r="230" spans="1:10" x14ac:dyDescent="0.2">
      <c r="A230" s="4" t="s">
        <v>673</v>
      </c>
      <c r="B230" s="1">
        <v>2.6</v>
      </c>
      <c r="C230" s="1" t="s">
        <v>18</v>
      </c>
      <c r="D230" s="1" t="str">
        <f>"34/73"</f>
        <v>34/73</v>
      </c>
      <c r="E230" s="1">
        <v>0.6</v>
      </c>
      <c r="F230" s="1" t="s">
        <v>674</v>
      </c>
      <c r="G230" s="1" t="s">
        <v>675</v>
      </c>
      <c r="H230" s="4" t="s">
        <v>28</v>
      </c>
      <c r="I230" s="4" t="s">
        <v>108</v>
      </c>
      <c r="J230" s="12"/>
    </row>
    <row r="231" spans="1:10" x14ac:dyDescent="0.2">
      <c r="A231" s="4" t="s">
        <v>856</v>
      </c>
      <c r="B231" s="1">
        <v>2.6</v>
      </c>
      <c r="C231" s="1" t="s">
        <v>18</v>
      </c>
      <c r="D231" s="1" t="str">
        <f>"26/79"</f>
        <v>26/79</v>
      </c>
      <c r="E231" s="1">
        <v>0.6</v>
      </c>
      <c r="F231" s="1" t="s">
        <v>857</v>
      </c>
      <c r="G231" s="1" t="s">
        <v>858</v>
      </c>
      <c r="H231" s="4" t="s">
        <v>28</v>
      </c>
      <c r="I231" s="4" t="s">
        <v>108</v>
      </c>
      <c r="J231" s="12"/>
    </row>
    <row r="232" spans="1:10" x14ac:dyDescent="0.2">
      <c r="A232" s="4" t="s">
        <v>888</v>
      </c>
      <c r="B232" s="1">
        <v>2.6</v>
      </c>
      <c r="C232" s="1" t="s">
        <v>18</v>
      </c>
      <c r="D232" s="1" t="str">
        <f>"26/79"</f>
        <v>26/79</v>
      </c>
      <c r="E232" s="1">
        <v>0.7</v>
      </c>
      <c r="F232" s="1" t="s">
        <v>889</v>
      </c>
      <c r="G232" s="1" t="s">
        <v>890</v>
      </c>
      <c r="H232" s="4" t="s">
        <v>28</v>
      </c>
      <c r="I232" s="4" t="s">
        <v>891</v>
      </c>
      <c r="J232" s="12"/>
    </row>
    <row r="233" spans="1:10" x14ac:dyDescent="0.2">
      <c r="A233" s="4" t="s">
        <v>1013</v>
      </c>
      <c r="B233" s="1">
        <v>2.6</v>
      </c>
      <c r="C233" s="1" t="s">
        <v>36</v>
      </c>
      <c r="D233" s="1" t="str">
        <f>"4/21"</f>
        <v>4/21</v>
      </c>
      <c r="E233" s="1">
        <v>0.6</v>
      </c>
      <c r="F233" s="1" t="s">
        <v>1014</v>
      </c>
      <c r="G233" s="1" t="s">
        <v>1015</v>
      </c>
      <c r="H233" s="4" t="s">
        <v>10</v>
      </c>
      <c r="I233" s="4" t="s">
        <v>108</v>
      </c>
      <c r="J233" s="12"/>
    </row>
    <row r="234" spans="1:10" x14ac:dyDescent="0.2">
      <c r="A234" s="4" t="s">
        <v>1088</v>
      </c>
      <c r="B234" s="1">
        <v>2.6</v>
      </c>
      <c r="C234" s="1" t="s">
        <v>13</v>
      </c>
      <c r="D234" s="1" t="str">
        <f>"18/28"</f>
        <v>18/28</v>
      </c>
      <c r="E234" s="1">
        <v>0.7</v>
      </c>
      <c r="F234" s="1" t="s">
        <v>1089</v>
      </c>
      <c r="G234" s="1" t="s">
        <v>1090</v>
      </c>
      <c r="H234" s="4" t="s">
        <v>64</v>
      </c>
      <c r="I234" s="4" t="s">
        <v>22</v>
      </c>
      <c r="J234" s="12"/>
    </row>
    <row r="235" spans="1:10" x14ac:dyDescent="0.2">
      <c r="A235" s="4" t="s">
        <v>1223</v>
      </c>
      <c r="B235" s="1">
        <v>2.6</v>
      </c>
      <c r="C235" s="1" t="s">
        <v>18</v>
      </c>
      <c r="D235" s="1" t="str">
        <f>"68/139"</f>
        <v>68/139</v>
      </c>
      <c r="E235" s="1">
        <v>0.3</v>
      </c>
      <c r="F235" s="1" t="s">
        <v>1224</v>
      </c>
      <c r="G235" s="1" t="s">
        <v>1225</v>
      </c>
      <c r="H235" s="4" t="s">
        <v>404</v>
      </c>
      <c r="I235" s="4" t="s">
        <v>1222</v>
      </c>
      <c r="J235" s="12"/>
    </row>
    <row r="236" spans="1:10" x14ac:dyDescent="0.2">
      <c r="A236" s="4" t="s">
        <v>428</v>
      </c>
      <c r="B236" s="1">
        <v>2.5</v>
      </c>
      <c r="C236" s="1" t="s">
        <v>18</v>
      </c>
      <c r="D236" s="1" t="str">
        <f>"13/32"</f>
        <v>13/32</v>
      </c>
      <c r="E236" s="1">
        <v>0.4</v>
      </c>
      <c r="F236" s="1" t="s">
        <v>429</v>
      </c>
      <c r="G236" s="1" t="s">
        <v>430</v>
      </c>
      <c r="H236" s="4" t="s">
        <v>64</v>
      </c>
      <c r="I236" s="4" t="s">
        <v>108</v>
      </c>
      <c r="J236" s="12"/>
    </row>
    <row r="237" spans="1:10" x14ac:dyDescent="0.2">
      <c r="A237" s="4" t="s">
        <v>470</v>
      </c>
      <c r="B237" s="1">
        <v>2.5</v>
      </c>
      <c r="C237" s="1" t="s">
        <v>18</v>
      </c>
      <c r="D237" s="1" t="str">
        <f>"13/32"</f>
        <v>13/32</v>
      </c>
      <c r="E237" s="1">
        <v>0.4</v>
      </c>
      <c r="F237" s="1" t="s">
        <v>471</v>
      </c>
      <c r="G237" s="1" t="s">
        <v>472</v>
      </c>
      <c r="H237" s="4" t="s">
        <v>10</v>
      </c>
      <c r="I237" s="4" t="s">
        <v>259</v>
      </c>
      <c r="J237" s="12"/>
    </row>
    <row r="238" spans="1:10" x14ac:dyDescent="0.2">
      <c r="A238" s="4" t="s">
        <v>621</v>
      </c>
      <c r="B238" s="1">
        <v>2.5</v>
      </c>
      <c r="C238" s="1" t="s">
        <v>36</v>
      </c>
      <c r="D238" s="1" t="str">
        <f>"7/29"</f>
        <v>7/29</v>
      </c>
      <c r="E238" s="1">
        <v>0.5</v>
      </c>
      <c r="F238" s="1" t="s">
        <v>622</v>
      </c>
      <c r="G238" s="1" t="s">
        <v>623</v>
      </c>
      <c r="H238" s="4" t="s">
        <v>10</v>
      </c>
      <c r="I238" s="4" t="s">
        <v>34</v>
      </c>
      <c r="J238" s="12"/>
    </row>
    <row r="239" spans="1:10" x14ac:dyDescent="0.2">
      <c r="A239" s="4" t="s">
        <v>656</v>
      </c>
      <c r="B239" s="1">
        <v>2.5</v>
      </c>
      <c r="C239" s="1" t="s">
        <v>36</v>
      </c>
      <c r="D239" s="1" t="str">
        <f>"7/29"</f>
        <v>7/29</v>
      </c>
      <c r="E239" s="1">
        <v>0.5</v>
      </c>
      <c r="F239" s="1" t="s">
        <v>657</v>
      </c>
      <c r="G239" s="1" t="s">
        <v>658</v>
      </c>
      <c r="H239" s="4" t="s">
        <v>28</v>
      </c>
      <c r="I239" s="4" t="s">
        <v>108</v>
      </c>
      <c r="J239" s="12"/>
    </row>
    <row r="240" spans="1:10" x14ac:dyDescent="0.2">
      <c r="A240" s="4" t="s">
        <v>701</v>
      </c>
      <c r="B240" s="1">
        <v>2.5</v>
      </c>
      <c r="C240" s="1" t="s">
        <v>13</v>
      </c>
      <c r="D240" s="1" t="str">
        <f>"106/178"</f>
        <v>106/178</v>
      </c>
      <c r="E240" s="1">
        <v>0.4</v>
      </c>
      <c r="F240" s="1" t="s">
        <v>702</v>
      </c>
      <c r="G240" s="1" t="s">
        <v>703</v>
      </c>
      <c r="H240" s="4" t="s">
        <v>64</v>
      </c>
      <c r="I240" s="4" t="s">
        <v>108</v>
      </c>
      <c r="J240" s="12"/>
    </row>
    <row r="241" spans="1:10" x14ac:dyDescent="0.2">
      <c r="A241" s="4" t="s">
        <v>757</v>
      </c>
      <c r="B241" s="1">
        <v>2.5</v>
      </c>
      <c r="C241" s="1" t="s">
        <v>18</v>
      </c>
      <c r="D241" s="1" t="str">
        <f>"28/79"</f>
        <v>28/79</v>
      </c>
      <c r="E241" s="1">
        <v>0.8</v>
      </c>
      <c r="F241" s="1" t="s">
        <v>758</v>
      </c>
      <c r="G241" s="1" t="s">
        <v>759</v>
      </c>
      <c r="H241" s="4" t="s">
        <v>59</v>
      </c>
      <c r="I241" s="4" t="s">
        <v>108</v>
      </c>
      <c r="J241" s="12"/>
    </row>
    <row r="242" spans="1:10" x14ac:dyDescent="0.2">
      <c r="A242" s="4" t="s">
        <v>837</v>
      </c>
      <c r="B242" s="1">
        <v>2.5</v>
      </c>
      <c r="C242" s="1" t="s">
        <v>13</v>
      </c>
      <c r="D242" s="1" t="str">
        <f>"45/70"</f>
        <v>45/70</v>
      </c>
      <c r="E242" s="1">
        <v>0.8</v>
      </c>
      <c r="F242" s="1" t="s">
        <v>838</v>
      </c>
      <c r="G242" s="1" t="s">
        <v>838</v>
      </c>
      <c r="H242" s="4" t="s">
        <v>21</v>
      </c>
      <c r="I242" s="4" t="s">
        <v>68</v>
      </c>
      <c r="J242" s="12"/>
    </row>
    <row r="243" spans="1:10" x14ac:dyDescent="0.2">
      <c r="A243" s="4" t="s">
        <v>1004</v>
      </c>
      <c r="B243" s="1">
        <v>2.5</v>
      </c>
      <c r="C243" s="1" t="s">
        <v>18</v>
      </c>
      <c r="D243" s="1" t="str">
        <f>"8/26"</f>
        <v>8/26</v>
      </c>
      <c r="E243" s="1">
        <v>0.4</v>
      </c>
      <c r="F243" s="1" t="s">
        <v>1005</v>
      </c>
      <c r="G243" s="1" t="s">
        <v>1006</v>
      </c>
      <c r="H243" s="4" t="s">
        <v>404</v>
      </c>
      <c r="I243" s="4" t="s">
        <v>1007</v>
      </c>
      <c r="J243" s="12"/>
    </row>
    <row r="244" spans="1:10" ht="28.5" x14ac:dyDescent="0.2">
      <c r="A244" s="4" t="s">
        <v>253</v>
      </c>
      <c r="B244" s="1">
        <v>2.4</v>
      </c>
      <c r="C244" s="1" t="s">
        <v>13</v>
      </c>
      <c r="D244" s="1" t="str">
        <f>"228/344"</f>
        <v>228/344</v>
      </c>
      <c r="E244" s="1">
        <v>0.5</v>
      </c>
      <c r="F244" s="1" t="s">
        <v>254</v>
      </c>
      <c r="G244" s="1" t="s">
        <v>255</v>
      </c>
      <c r="H244" s="4" t="s">
        <v>21</v>
      </c>
      <c r="I244" s="4" t="s">
        <v>68</v>
      </c>
      <c r="J244" s="12"/>
    </row>
    <row r="245" spans="1:10" x14ac:dyDescent="0.2">
      <c r="A245" s="4" t="s">
        <v>647</v>
      </c>
      <c r="B245" s="1">
        <v>2.4</v>
      </c>
      <c r="C245" s="1" t="s">
        <v>18</v>
      </c>
      <c r="D245" s="1" t="str">
        <f>"29/79"</f>
        <v>29/79</v>
      </c>
      <c r="E245" s="1">
        <v>0.6</v>
      </c>
      <c r="F245" s="1" t="s">
        <v>648</v>
      </c>
      <c r="G245" s="1" t="s">
        <v>649</v>
      </c>
      <c r="H245" s="4" t="s">
        <v>28</v>
      </c>
      <c r="I245" s="4" t="s">
        <v>108</v>
      </c>
      <c r="J245" s="12"/>
    </row>
    <row r="246" spans="1:10" x14ac:dyDescent="0.2">
      <c r="A246" s="4" t="s">
        <v>901</v>
      </c>
      <c r="B246" s="1">
        <v>2.4</v>
      </c>
      <c r="C246" s="1" t="s">
        <v>18</v>
      </c>
      <c r="D246" s="1" t="str">
        <f>"29/79"</f>
        <v>29/79</v>
      </c>
      <c r="E246" s="1">
        <v>0.9</v>
      </c>
      <c r="F246" s="1" t="s">
        <v>902</v>
      </c>
      <c r="G246" s="1" t="s">
        <v>903</v>
      </c>
      <c r="H246" s="4" t="s">
        <v>33</v>
      </c>
      <c r="I246" s="4" t="s">
        <v>904</v>
      </c>
      <c r="J246" s="12"/>
    </row>
    <row r="247" spans="1:10" x14ac:dyDescent="0.2">
      <c r="A247" s="4" t="s">
        <v>966</v>
      </c>
      <c r="B247" s="1">
        <v>2.4</v>
      </c>
      <c r="C247" s="1" t="s">
        <v>13</v>
      </c>
      <c r="D247" s="1" t="str">
        <f>"70/137"</f>
        <v>70/137</v>
      </c>
      <c r="E247" s="1">
        <v>0.7</v>
      </c>
      <c r="F247" s="1" t="s">
        <v>967</v>
      </c>
      <c r="G247" s="1" t="s">
        <v>968</v>
      </c>
      <c r="H247" s="4" t="s">
        <v>28</v>
      </c>
      <c r="I247" s="4" t="s">
        <v>108</v>
      </c>
      <c r="J247" s="12"/>
    </row>
    <row r="248" spans="1:10" x14ac:dyDescent="0.2">
      <c r="A248" s="4" t="s">
        <v>1011</v>
      </c>
      <c r="B248" s="1">
        <v>2.4</v>
      </c>
      <c r="C248" s="1" t="s">
        <v>18</v>
      </c>
      <c r="D248" s="1" t="str">
        <f>"9/26"</f>
        <v>9/26</v>
      </c>
      <c r="E248" s="1">
        <v>0.5</v>
      </c>
      <c r="F248" s="1" t="s">
        <v>1012</v>
      </c>
      <c r="G248" s="1" t="s">
        <v>1012</v>
      </c>
      <c r="H248" s="4" t="s">
        <v>404</v>
      </c>
      <c r="I248" s="4" t="s">
        <v>108</v>
      </c>
      <c r="J248" s="12"/>
    </row>
    <row r="249" spans="1:10" x14ac:dyDescent="0.2">
      <c r="A249" s="4" t="s">
        <v>1027</v>
      </c>
      <c r="B249" s="1">
        <v>2.4</v>
      </c>
      <c r="C249" s="1" t="s">
        <v>13</v>
      </c>
      <c r="D249" s="1" t="str">
        <f>"228/344"</f>
        <v>228/344</v>
      </c>
      <c r="E249" s="1">
        <v>0.6</v>
      </c>
      <c r="F249" s="1" t="s">
        <v>1028</v>
      </c>
      <c r="G249" s="1" t="s">
        <v>1029</v>
      </c>
      <c r="H249" s="4" t="s">
        <v>404</v>
      </c>
      <c r="I249" s="4" t="s">
        <v>405</v>
      </c>
      <c r="J249" s="12"/>
    </row>
    <row r="250" spans="1:10" ht="28.5" x14ac:dyDescent="0.2">
      <c r="A250" s="4" t="s">
        <v>1145</v>
      </c>
      <c r="B250" s="1">
        <v>2.4</v>
      </c>
      <c r="C250" s="1" t="s">
        <v>18</v>
      </c>
      <c r="D250" s="1" t="str">
        <f>"29/79"</f>
        <v>29/79</v>
      </c>
      <c r="E250" s="1">
        <v>0.5</v>
      </c>
      <c r="F250" s="1" t="s">
        <v>1146</v>
      </c>
      <c r="G250" s="1" t="s">
        <v>1147</v>
      </c>
      <c r="H250" s="4" t="s">
        <v>21</v>
      </c>
      <c r="I250" s="4" t="s">
        <v>44</v>
      </c>
      <c r="J250" s="12"/>
    </row>
    <row r="251" spans="1:10" x14ac:dyDescent="0.2">
      <c r="A251" s="4" t="s">
        <v>65</v>
      </c>
      <c r="B251" s="1">
        <v>2.2999999999999998</v>
      </c>
      <c r="C251" s="1" t="s">
        <v>18</v>
      </c>
      <c r="D251" s="1" t="str">
        <f>"10/26"</f>
        <v>10/26</v>
      </c>
      <c r="E251" s="1">
        <v>0.3</v>
      </c>
      <c r="F251" s="1" t="s">
        <v>66</v>
      </c>
      <c r="G251" s="1" t="s">
        <v>67</v>
      </c>
      <c r="H251" s="4" t="s">
        <v>28</v>
      </c>
      <c r="I251" s="4" t="s">
        <v>68</v>
      </c>
      <c r="J251" s="12"/>
    </row>
    <row r="252" spans="1:10" x14ac:dyDescent="0.2">
      <c r="A252" s="4" t="s">
        <v>508</v>
      </c>
      <c r="B252" s="1">
        <v>2.2999999999999998</v>
      </c>
      <c r="C252" s="1" t="s">
        <v>13</v>
      </c>
      <c r="D252" s="1" t="str">
        <f>"236/344"</f>
        <v>236/344</v>
      </c>
      <c r="E252" s="1">
        <v>0.6</v>
      </c>
      <c r="F252" s="1" t="s">
        <v>509</v>
      </c>
      <c r="G252" s="1" t="s">
        <v>509</v>
      </c>
      <c r="H252" s="4" t="s">
        <v>21</v>
      </c>
      <c r="I252" s="4" t="s">
        <v>90</v>
      </c>
      <c r="J252" s="12"/>
    </row>
    <row r="253" spans="1:10" x14ac:dyDescent="0.2">
      <c r="A253" s="4" t="s">
        <v>736</v>
      </c>
      <c r="B253" s="1">
        <v>2.2999999999999998</v>
      </c>
      <c r="C253" s="1" t="s">
        <v>13</v>
      </c>
      <c r="D253" s="1" t="str">
        <f>"236/344"</f>
        <v>236/344</v>
      </c>
      <c r="E253" s="1">
        <v>0.4</v>
      </c>
      <c r="F253" s="1" t="s">
        <v>737</v>
      </c>
      <c r="G253" s="1" t="s">
        <v>738</v>
      </c>
      <c r="H253" s="4" t="s">
        <v>28</v>
      </c>
      <c r="I253" s="4" t="s">
        <v>108</v>
      </c>
      <c r="J253" s="12"/>
    </row>
    <row r="254" spans="1:10" x14ac:dyDescent="0.2">
      <c r="A254" s="4" t="s">
        <v>807</v>
      </c>
      <c r="B254" s="1">
        <v>2.2999999999999998</v>
      </c>
      <c r="C254" s="1" t="s">
        <v>13</v>
      </c>
      <c r="D254" s="1" t="str">
        <f>"38/73"</f>
        <v>38/73</v>
      </c>
      <c r="E254" s="1">
        <v>0.6</v>
      </c>
      <c r="F254" s="1" t="s">
        <v>808</v>
      </c>
      <c r="G254" s="1" t="s">
        <v>809</v>
      </c>
      <c r="H254" s="4" t="s">
        <v>28</v>
      </c>
      <c r="I254" s="4" t="s">
        <v>108</v>
      </c>
      <c r="J254" s="12"/>
    </row>
    <row r="255" spans="1:10" x14ac:dyDescent="0.2">
      <c r="A255" s="4" t="s">
        <v>835</v>
      </c>
      <c r="B255" s="1">
        <v>2.2999999999999998</v>
      </c>
      <c r="C255" s="1" t="s">
        <v>18</v>
      </c>
      <c r="D255" s="1" t="str">
        <f>"9/29"</f>
        <v>9/29</v>
      </c>
      <c r="E255" s="1">
        <v>0.3</v>
      </c>
      <c r="F255" s="1" t="s">
        <v>836</v>
      </c>
      <c r="G255" s="1" t="s">
        <v>836</v>
      </c>
      <c r="H255" s="4" t="s">
        <v>72</v>
      </c>
      <c r="I255" s="4" t="s">
        <v>22</v>
      </c>
      <c r="J255" s="12"/>
    </row>
    <row r="256" spans="1:10" x14ac:dyDescent="0.2">
      <c r="A256" s="4" t="s">
        <v>850</v>
      </c>
      <c r="B256" s="1">
        <v>2.2999999999999998</v>
      </c>
      <c r="C256" s="1" t="s">
        <v>13</v>
      </c>
      <c r="D256" s="1" t="str">
        <f>"78/137"</f>
        <v>78/137</v>
      </c>
      <c r="E256" s="1">
        <v>1</v>
      </c>
      <c r="F256" s="1" t="s">
        <v>851</v>
      </c>
      <c r="G256" s="1" t="s">
        <v>852</v>
      </c>
      <c r="H256" s="4" t="s">
        <v>64</v>
      </c>
      <c r="I256" s="4" t="s">
        <v>22</v>
      </c>
      <c r="J256" s="12"/>
    </row>
    <row r="257" spans="1:10" x14ac:dyDescent="0.2">
      <c r="A257" s="4" t="s">
        <v>1201</v>
      </c>
      <c r="B257" s="1">
        <v>2.2999999999999998</v>
      </c>
      <c r="C257" s="1" t="s">
        <v>13</v>
      </c>
      <c r="D257" s="1" t="str">
        <f>"21/28"</f>
        <v>21/28</v>
      </c>
      <c r="E257" s="1">
        <v>0.6</v>
      </c>
      <c r="F257" s="1" t="s">
        <v>1202</v>
      </c>
      <c r="G257" s="1" t="s">
        <v>1203</v>
      </c>
      <c r="H257" s="4" t="s">
        <v>21</v>
      </c>
      <c r="I257" s="4" t="s">
        <v>108</v>
      </c>
      <c r="J257" s="12"/>
    </row>
    <row r="258" spans="1:10" x14ac:dyDescent="0.2">
      <c r="A258" s="4" t="s">
        <v>1276</v>
      </c>
      <c r="B258" s="1">
        <v>2.2999999999999998</v>
      </c>
      <c r="C258" s="1" t="s">
        <v>18</v>
      </c>
      <c r="D258" s="1" t="str">
        <f>"32/79"</f>
        <v>32/79</v>
      </c>
      <c r="E258" s="1">
        <v>0.8</v>
      </c>
      <c r="F258" s="1" t="s">
        <v>1277</v>
      </c>
      <c r="G258" s="1" t="s">
        <v>9</v>
      </c>
      <c r="H258" s="4" t="s">
        <v>59</v>
      </c>
      <c r="I258" s="4" t="s">
        <v>167</v>
      </c>
      <c r="J258" s="12"/>
    </row>
    <row r="259" spans="1:10" x14ac:dyDescent="0.2">
      <c r="A259" s="4" t="s">
        <v>17</v>
      </c>
      <c r="B259" s="1">
        <v>2.2000000000000002</v>
      </c>
      <c r="C259" s="1" t="s">
        <v>18</v>
      </c>
      <c r="D259" s="1" t="str">
        <f>"6/21"</f>
        <v>6/21</v>
      </c>
      <c r="E259" s="1">
        <v>0.8</v>
      </c>
      <c r="F259" s="1" t="s">
        <v>19</v>
      </c>
      <c r="G259" s="1" t="s">
        <v>20</v>
      </c>
      <c r="H259" s="4" t="s">
        <v>21</v>
      </c>
      <c r="I259" s="4" t="s">
        <v>22</v>
      </c>
      <c r="J259" s="12"/>
    </row>
    <row r="260" spans="1:10" x14ac:dyDescent="0.2">
      <c r="A260" s="4" t="s">
        <v>26</v>
      </c>
      <c r="B260" s="1">
        <v>2.2000000000000002</v>
      </c>
      <c r="C260" s="1" t="s">
        <v>18</v>
      </c>
      <c r="D260" s="1" t="str">
        <f>"33/79"</f>
        <v>33/79</v>
      </c>
      <c r="E260" s="1">
        <v>1.4</v>
      </c>
      <c r="F260" s="1" t="s">
        <v>27</v>
      </c>
      <c r="G260" s="1" t="s">
        <v>27</v>
      </c>
      <c r="H260" s="4" t="s">
        <v>28</v>
      </c>
      <c r="I260" s="4" t="s">
        <v>29</v>
      </c>
      <c r="J260" s="12"/>
    </row>
    <row r="261" spans="1:10" x14ac:dyDescent="0.2">
      <c r="A261" s="4" t="s">
        <v>113</v>
      </c>
      <c r="B261" s="1">
        <v>2.2000000000000002</v>
      </c>
      <c r="C261" s="1" t="s">
        <v>18</v>
      </c>
      <c r="D261" s="1" t="str">
        <f>"33/79"</f>
        <v>33/79</v>
      </c>
      <c r="E261" s="1">
        <v>0.3</v>
      </c>
      <c r="F261" s="1" t="s">
        <v>114</v>
      </c>
      <c r="G261" s="1" t="s">
        <v>115</v>
      </c>
      <c r="H261" s="4" t="s">
        <v>10</v>
      </c>
      <c r="I261" s="4" t="s">
        <v>116</v>
      </c>
      <c r="J261" s="12"/>
    </row>
    <row r="262" spans="1:10" x14ac:dyDescent="0.2">
      <c r="A262" s="4" t="s">
        <v>853</v>
      </c>
      <c r="B262" s="1">
        <v>2.2000000000000002</v>
      </c>
      <c r="C262" s="1" t="s">
        <v>13</v>
      </c>
      <c r="D262" s="1" t="str">
        <f>"83/137"</f>
        <v>83/137</v>
      </c>
      <c r="E262" s="1">
        <v>0.5</v>
      </c>
      <c r="F262" s="1" t="s">
        <v>854</v>
      </c>
      <c r="G262" s="1" t="s">
        <v>855</v>
      </c>
      <c r="H262" s="4" t="s">
        <v>21</v>
      </c>
      <c r="I262" s="4" t="s">
        <v>22</v>
      </c>
      <c r="J262" s="12"/>
    </row>
    <row r="263" spans="1:10" x14ac:dyDescent="0.2">
      <c r="A263" s="4" t="s">
        <v>969</v>
      </c>
      <c r="B263" s="1">
        <v>2.2000000000000002</v>
      </c>
      <c r="C263" s="1" t="s">
        <v>13</v>
      </c>
      <c r="D263" s="1" t="str">
        <f>"23/42"</f>
        <v>23/42</v>
      </c>
      <c r="E263" s="1">
        <v>0.7</v>
      </c>
      <c r="F263" s="1" t="s">
        <v>970</v>
      </c>
      <c r="G263" s="1" t="s">
        <v>971</v>
      </c>
      <c r="H263" s="4" t="s">
        <v>21</v>
      </c>
      <c r="I263" s="4" t="s">
        <v>34</v>
      </c>
      <c r="J263" s="12"/>
    </row>
    <row r="264" spans="1:10" x14ac:dyDescent="0.2">
      <c r="A264" s="4" t="s">
        <v>1024</v>
      </c>
      <c r="B264" s="1">
        <v>2.2000000000000002</v>
      </c>
      <c r="C264" s="1" t="s">
        <v>13</v>
      </c>
      <c r="D264" s="1" t="str">
        <f>"242/344"</f>
        <v>242/344</v>
      </c>
      <c r="E264" s="1">
        <v>1</v>
      </c>
      <c r="F264" s="1" t="s">
        <v>1025</v>
      </c>
      <c r="G264" s="1" t="s">
        <v>1026</v>
      </c>
      <c r="H264" s="4" t="s">
        <v>21</v>
      </c>
      <c r="I264" s="4" t="s">
        <v>94</v>
      </c>
      <c r="J264" s="12"/>
    </row>
    <row r="265" spans="1:10" x14ac:dyDescent="0.2">
      <c r="A265" s="4" t="s">
        <v>1229</v>
      </c>
      <c r="B265" s="1">
        <v>2.2000000000000002</v>
      </c>
      <c r="C265" s="1" t="s">
        <v>18</v>
      </c>
      <c r="D265" s="1" t="str">
        <f>"10/29"</f>
        <v>10/29</v>
      </c>
      <c r="E265" s="1">
        <v>0.2</v>
      </c>
      <c r="F265" s="1" t="s">
        <v>1230</v>
      </c>
      <c r="G265" s="1" t="s">
        <v>1231</v>
      </c>
      <c r="H265" s="4" t="s">
        <v>21</v>
      </c>
      <c r="I265" s="4" t="s">
        <v>22</v>
      </c>
      <c r="J265" s="12"/>
    </row>
    <row r="266" spans="1:10" x14ac:dyDescent="0.2">
      <c r="A266" s="4" t="s">
        <v>30</v>
      </c>
      <c r="B266" s="1">
        <v>2.1</v>
      </c>
      <c r="C266" s="1" t="s">
        <v>18</v>
      </c>
      <c r="D266" s="1" t="str">
        <f>"36/79"</f>
        <v>36/79</v>
      </c>
      <c r="E266" s="1">
        <v>0.6</v>
      </c>
      <c r="F266" s="1" t="s">
        <v>31</v>
      </c>
      <c r="G266" s="1" t="s">
        <v>32</v>
      </c>
      <c r="H266" s="4" t="s">
        <v>33</v>
      </c>
      <c r="I266" s="4" t="s">
        <v>34</v>
      </c>
      <c r="J266" s="12"/>
    </row>
    <row r="267" spans="1:10" x14ac:dyDescent="0.2">
      <c r="A267" s="4" t="s">
        <v>61</v>
      </c>
      <c r="B267" s="1">
        <v>2.1</v>
      </c>
      <c r="C267" s="1" t="s">
        <v>13</v>
      </c>
      <c r="D267" s="1" t="str">
        <f>"41/67"</f>
        <v>41/67</v>
      </c>
      <c r="E267" s="1">
        <v>0.5</v>
      </c>
      <c r="F267" s="1" t="s">
        <v>62</v>
      </c>
      <c r="G267" s="1" t="s">
        <v>63</v>
      </c>
      <c r="H267" s="4" t="s">
        <v>64</v>
      </c>
      <c r="I267" s="4" t="s">
        <v>40</v>
      </c>
      <c r="J267" s="12"/>
    </row>
    <row r="268" spans="1:10" x14ac:dyDescent="0.2">
      <c r="A268" s="4" t="s">
        <v>109</v>
      </c>
      <c r="B268" s="1">
        <v>2.1</v>
      </c>
      <c r="C268" s="1" t="s">
        <v>13</v>
      </c>
      <c r="D268" s="1" t="str">
        <f>"17/32"</f>
        <v>17/32</v>
      </c>
      <c r="E268" s="1">
        <v>0.6</v>
      </c>
      <c r="F268" s="1" t="s">
        <v>110</v>
      </c>
      <c r="G268" s="1" t="s">
        <v>111</v>
      </c>
      <c r="H268" s="4" t="s">
        <v>21</v>
      </c>
      <c r="I268" s="4" t="s">
        <v>112</v>
      </c>
      <c r="J268" s="12"/>
    </row>
    <row r="269" spans="1:10" x14ac:dyDescent="0.2">
      <c r="A269" s="4" t="s">
        <v>266</v>
      </c>
      <c r="B269" s="1">
        <v>2.1</v>
      </c>
      <c r="C269" s="1" t="s">
        <v>13</v>
      </c>
      <c r="D269" s="1" t="str">
        <f>"17/32"</f>
        <v>17/32</v>
      </c>
      <c r="E269" s="1">
        <v>0.7</v>
      </c>
      <c r="F269" s="1" t="s">
        <v>267</v>
      </c>
      <c r="G269" s="1" t="s">
        <v>268</v>
      </c>
      <c r="H269" s="4" t="s">
        <v>21</v>
      </c>
      <c r="I269" s="4" t="s">
        <v>68</v>
      </c>
      <c r="J269" s="12"/>
    </row>
    <row r="270" spans="1:10" x14ac:dyDescent="0.2">
      <c r="A270" s="4" t="s">
        <v>370</v>
      </c>
      <c r="B270" s="1">
        <v>2.1</v>
      </c>
      <c r="C270" s="1" t="s">
        <v>13</v>
      </c>
      <c r="D270" s="1" t="str">
        <f>"99/160"</f>
        <v>99/160</v>
      </c>
      <c r="E270" s="1">
        <v>0.7</v>
      </c>
      <c r="F270" s="1" t="s">
        <v>9</v>
      </c>
      <c r="G270" s="1" t="s">
        <v>371</v>
      </c>
      <c r="H270" s="4" t="s">
        <v>21</v>
      </c>
      <c r="I270" s="4" t="s">
        <v>90</v>
      </c>
      <c r="J270" s="12"/>
    </row>
    <row r="271" spans="1:10" ht="28.5" x14ac:dyDescent="0.2">
      <c r="A271" s="4" t="s">
        <v>392</v>
      </c>
      <c r="B271" s="1">
        <v>2.1</v>
      </c>
      <c r="C271" s="1" t="s">
        <v>13</v>
      </c>
      <c r="D271" s="1" t="str">
        <f>"99/160"</f>
        <v>99/160</v>
      </c>
      <c r="E271" s="1">
        <v>0.7</v>
      </c>
      <c r="F271" s="1" t="s">
        <v>393</v>
      </c>
      <c r="G271" s="1" t="s">
        <v>394</v>
      </c>
      <c r="H271" s="4" t="s">
        <v>10</v>
      </c>
      <c r="I271" s="4" t="s">
        <v>34</v>
      </c>
      <c r="J271" s="12"/>
    </row>
    <row r="272" spans="1:10" ht="42.75" x14ac:dyDescent="0.2">
      <c r="A272" s="4" t="s">
        <v>555</v>
      </c>
      <c r="B272" s="1">
        <v>2.1</v>
      </c>
      <c r="C272" s="1" t="s">
        <v>13</v>
      </c>
      <c r="D272" s="1" t="str">
        <f>"41/68"</f>
        <v>41/68</v>
      </c>
      <c r="E272" s="1">
        <v>0.3</v>
      </c>
      <c r="F272" s="1" t="s">
        <v>556</v>
      </c>
      <c r="G272" s="1" t="s">
        <v>557</v>
      </c>
      <c r="H272" s="4" t="s">
        <v>196</v>
      </c>
      <c r="I272" s="4" t="s">
        <v>197</v>
      </c>
      <c r="J272" s="12"/>
    </row>
    <row r="273" spans="1:10" x14ac:dyDescent="0.2">
      <c r="A273" s="4" t="s">
        <v>788</v>
      </c>
      <c r="B273" s="1">
        <v>2.1</v>
      </c>
      <c r="C273" s="1" t="s">
        <v>13</v>
      </c>
      <c r="D273" s="1" t="str">
        <f>"41/73"</f>
        <v>41/73</v>
      </c>
      <c r="E273" s="1">
        <v>0.6</v>
      </c>
      <c r="F273" s="1" t="s">
        <v>789</v>
      </c>
      <c r="G273" s="1" t="s">
        <v>790</v>
      </c>
      <c r="H273" s="4" t="s">
        <v>28</v>
      </c>
      <c r="I273" s="4" t="s">
        <v>133</v>
      </c>
      <c r="J273" s="12"/>
    </row>
    <row r="274" spans="1:10" x14ac:dyDescent="0.2">
      <c r="A274" s="4" t="s">
        <v>791</v>
      </c>
      <c r="B274" s="1">
        <v>2.1</v>
      </c>
      <c r="C274" s="1" t="s">
        <v>13</v>
      </c>
      <c r="D274" s="1" t="str">
        <f>"99/160"</f>
        <v>99/160</v>
      </c>
      <c r="E274" s="1">
        <v>0.5</v>
      </c>
      <c r="F274" s="1" t="s">
        <v>792</v>
      </c>
      <c r="G274" s="1" t="s">
        <v>793</v>
      </c>
      <c r="H274" s="4" t="s">
        <v>28</v>
      </c>
      <c r="I274" s="4" t="s">
        <v>108</v>
      </c>
      <c r="J274" s="12"/>
    </row>
    <row r="275" spans="1:10" x14ac:dyDescent="0.2">
      <c r="A275" s="4" t="s">
        <v>862</v>
      </c>
      <c r="B275" s="1">
        <v>2.1</v>
      </c>
      <c r="C275" s="1" t="s">
        <v>18</v>
      </c>
      <c r="D275" s="1" t="str">
        <f>"36/79"</f>
        <v>36/79</v>
      </c>
      <c r="E275" s="1">
        <v>0.2</v>
      </c>
      <c r="F275" s="1" t="s">
        <v>863</v>
      </c>
      <c r="G275" s="1" t="s">
        <v>864</v>
      </c>
      <c r="H275" s="4" t="s">
        <v>21</v>
      </c>
      <c r="I275" s="4" t="s">
        <v>22</v>
      </c>
      <c r="J275" s="12"/>
    </row>
    <row r="276" spans="1:10" x14ac:dyDescent="0.2">
      <c r="A276" s="4" t="s">
        <v>919</v>
      </c>
      <c r="B276" s="1">
        <v>2.1</v>
      </c>
      <c r="C276" s="1" t="s">
        <v>18</v>
      </c>
      <c r="D276" s="1" t="str">
        <f>"11/29"</f>
        <v>11/29</v>
      </c>
      <c r="E276" s="1">
        <v>0.6</v>
      </c>
      <c r="F276" s="1" t="s">
        <v>920</v>
      </c>
      <c r="G276" s="1" t="s">
        <v>921</v>
      </c>
      <c r="H276" s="4" t="s">
        <v>28</v>
      </c>
      <c r="I276" s="4" t="s">
        <v>922</v>
      </c>
      <c r="J276" s="12"/>
    </row>
    <row r="277" spans="1:10" x14ac:dyDescent="0.2">
      <c r="A277" s="4" t="s">
        <v>923</v>
      </c>
      <c r="B277" s="1">
        <v>2.1</v>
      </c>
      <c r="C277" s="1" t="s">
        <v>18</v>
      </c>
      <c r="D277" s="1" t="str">
        <f>"11/29"</f>
        <v>11/29</v>
      </c>
      <c r="E277" s="1">
        <v>0.3</v>
      </c>
      <c r="F277" s="1" t="s">
        <v>924</v>
      </c>
      <c r="G277" s="1" t="s">
        <v>925</v>
      </c>
      <c r="H277" s="4" t="s">
        <v>28</v>
      </c>
      <c r="I277" s="4" t="s">
        <v>112</v>
      </c>
      <c r="J277" s="12"/>
    </row>
    <row r="278" spans="1:10" x14ac:dyDescent="0.2">
      <c r="A278" s="4" t="s">
        <v>1173</v>
      </c>
      <c r="B278" s="1">
        <v>2.1</v>
      </c>
      <c r="C278" s="1" t="s">
        <v>13</v>
      </c>
      <c r="D278" s="1" t="str">
        <f>"50/70"</f>
        <v>50/70</v>
      </c>
      <c r="E278" s="1">
        <v>0.8</v>
      </c>
      <c r="F278" s="1" t="s">
        <v>1174</v>
      </c>
      <c r="G278" s="1" t="s">
        <v>1175</v>
      </c>
      <c r="H278" s="4" t="s">
        <v>28</v>
      </c>
      <c r="I278" s="4" t="s">
        <v>1176</v>
      </c>
      <c r="J278" s="12"/>
    </row>
    <row r="279" spans="1:10" x14ac:dyDescent="0.2">
      <c r="A279" s="4" t="s">
        <v>212</v>
      </c>
      <c r="B279" s="1">
        <v>2</v>
      </c>
      <c r="C279" s="1" t="s">
        <v>13</v>
      </c>
      <c r="D279" s="1" t="str">
        <f>"108/160"</f>
        <v>108/160</v>
      </c>
      <c r="E279" s="1">
        <v>2.1</v>
      </c>
      <c r="F279" s="1" t="s">
        <v>213</v>
      </c>
      <c r="G279" s="1" t="s">
        <v>214</v>
      </c>
      <c r="H279" s="4" t="s">
        <v>215</v>
      </c>
      <c r="I279" s="4" t="s">
        <v>216</v>
      </c>
      <c r="J279" s="12"/>
    </row>
    <row r="280" spans="1:10" x14ac:dyDescent="0.2">
      <c r="A280" s="4" t="s">
        <v>276</v>
      </c>
      <c r="B280" s="1">
        <v>2</v>
      </c>
      <c r="C280" s="1" t="s">
        <v>13</v>
      </c>
      <c r="D280" s="1" t="str">
        <f>"58/86"</f>
        <v>58/86</v>
      </c>
      <c r="E280" s="1">
        <v>0.3</v>
      </c>
      <c r="F280" s="1" t="s">
        <v>277</v>
      </c>
      <c r="G280" s="1" t="s">
        <v>278</v>
      </c>
      <c r="H280" s="4" t="s">
        <v>21</v>
      </c>
      <c r="I280" s="4" t="s">
        <v>22</v>
      </c>
      <c r="J280" s="12"/>
    </row>
    <row r="281" spans="1:10" x14ac:dyDescent="0.2">
      <c r="A281" s="4" t="s">
        <v>593</v>
      </c>
      <c r="B281" s="1">
        <v>2</v>
      </c>
      <c r="C281" s="1" t="s">
        <v>18</v>
      </c>
      <c r="D281" s="1" t="str">
        <f>"7/21"</f>
        <v>7/21</v>
      </c>
      <c r="E281" s="1">
        <v>0.6</v>
      </c>
      <c r="F281" s="1" t="s">
        <v>594</v>
      </c>
      <c r="G281" s="1" t="s">
        <v>595</v>
      </c>
      <c r="H281" s="4" t="s">
        <v>28</v>
      </c>
      <c r="I281" s="4" t="s">
        <v>133</v>
      </c>
      <c r="J281" s="12"/>
    </row>
    <row r="282" spans="1:10" x14ac:dyDescent="0.2">
      <c r="A282" s="4" t="s">
        <v>842</v>
      </c>
      <c r="B282" s="1">
        <v>2</v>
      </c>
      <c r="C282" s="1" t="s">
        <v>13</v>
      </c>
      <c r="D282" s="1" t="str">
        <f>"42/68"</f>
        <v>42/68</v>
      </c>
      <c r="E282" s="1">
        <v>0.4</v>
      </c>
      <c r="F282" s="1" t="s">
        <v>843</v>
      </c>
      <c r="G282" s="1" t="s">
        <v>844</v>
      </c>
      <c r="H282" s="4" t="s">
        <v>72</v>
      </c>
      <c r="I282" s="4" t="s">
        <v>845</v>
      </c>
      <c r="J282" s="12"/>
    </row>
    <row r="283" spans="1:10" x14ac:dyDescent="0.2">
      <c r="A283" s="4" t="s">
        <v>1226</v>
      </c>
      <c r="B283" s="1">
        <v>2</v>
      </c>
      <c r="C283" s="1" t="s">
        <v>13</v>
      </c>
      <c r="D283" s="1" t="str">
        <f>"42/68"</f>
        <v>42/68</v>
      </c>
      <c r="E283" s="1">
        <v>0.3</v>
      </c>
      <c r="F283" s="1" t="s">
        <v>1227</v>
      </c>
      <c r="G283" s="1" t="s">
        <v>1228</v>
      </c>
      <c r="H283" s="4" t="s">
        <v>21</v>
      </c>
      <c r="I283" s="4" t="s">
        <v>94</v>
      </c>
      <c r="J283" s="12"/>
    </row>
    <row r="284" spans="1:10" x14ac:dyDescent="0.2">
      <c r="A284" s="4" t="s">
        <v>45</v>
      </c>
      <c r="B284" s="1">
        <v>1.9</v>
      </c>
      <c r="C284" s="1" t="s">
        <v>18</v>
      </c>
      <c r="D284" s="1" t="str">
        <f>"39/79"</f>
        <v>39/79</v>
      </c>
      <c r="E284" s="1">
        <v>0.3</v>
      </c>
      <c r="F284" s="1" t="s">
        <v>46</v>
      </c>
      <c r="G284" s="1" t="s">
        <v>47</v>
      </c>
      <c r="H284" s="4" t="s">
        <v>21</v>
      </c>
      <c r="I284" s="4" t="s">
        <v>22</v>
      </c>
      <c r="J284" s="12"/>
    </row>
    <row r="285" spans="1:10" x14ac:dyDescent="0.2">
      <c r="A285" s="4" t="s">
        <v>174</v>
      </c>
      <c r="B285" s="1">
        <v>1.9</v>
      </c>
      <c r="C285" s="1" t="s">
        <v>7</v>
      </c>
      <c r="D285" s="1" t="str">
        <f>"24/28"</f>
        <v>24/28</v>
      </c>
      <c r="E285" s="1">
        <v>0.3</v>
      </c>
      <c r="F285" s="1" t="s">
        <v>175</v>
      </c>
      <c r="G285" s="1" t="s">
        <v>176</v>
      </c>
      <c r="H285" s="4" t="s">
        <v>21</v>
      </c>
      <c r="I285" s="4" t="s">
        <v>177</v>
      </c>
      <c r="J285" s="12"/>
    </row>
    <row r="286" spans="1:10" x14ac:dyDescent="0.2">
      <c r="A286" s="4" t="s">
        <v>377</v>
      </c>
      <c r="B286" s="1">
        <v>1.9</v>
      </c>
      <c r="C286" s="1" t="s">
        <v>7</v>
      </c>
      <c r="D286" s="1" t="str">
        <f>"264/344"</f>
        <v>264/344</v>
      </c>
      <c r="E286" s="1">
        <v>0.4</v>
      </c>
      <c r="F286" s="1" t="s">
        <v>378</v>
      </c>
      <c r="G286" s="1" t="s">
        <v>379</v>
      </c>
      <c r="H286" s="4" t="s">
        <v>10</v>
      </c>
      <c r="I286" s="4" t="s">
        <v>34</v>
      </c>
      <c r="J286" s="12"/>
    </row>
    <row r="287" spans="1:10" x14ac:dyDescent="0.2">
      <c r="A287" s="4" t="s">
        <v>634</v>
      </c>
      <c r="B287" s="1">
        <v>1.9</v>
      </c>
      <c r="C287" s="1" t="s">
        <v>18</v>
      </c>
      <c r="D287" s="1" t="str">
        <f>"13/29"</f>
        <v>13/29</v>
      </c>
      <c r="E287" s="1">
        <v>0.8</v>
      </c>
      <c r="F287" s="1" t="s">
        <v>635</v>
      </c>
      <c r="G287" s="1" t="s">
        <v>636</v>
      </c>
      <c r="H287" s="4" t="s">
        <v>28</v>
      </c>
      <c r="I287" s="4" t="s">
        <v>108</v>
      </c>
      <c r="J287" s="12"/>
    </row>
    <row r="288" spans="1:10" x14ac:dyDescent="0.2">
      <c r="A288" s="4" t="s">
        <v>777</v>
      </c>
      <c r="B288" s="1">
        <v>1.9</v>
      </c>
      <c r="C288" s="1" t="s">
        <v>13</v>
      </c>
      <c r="D288" s="1" t="str">
        <f>"54/90"</f>
        <v>54/90</v>
      </c>
      <c r="E288" s="1">
        <v>0.3</v>
      </c>
      <c r="F288" s="1" t="s">
        <v>778</v>
      </c>
      <c r="G288" s="1" t="s">
        <v>779</v>
      </c>
      <c r="H288" s="4" t="s">
        <v>21</v>
      </c>
      <c r="I288" s="4" t="s">
        <v>68</v>
      </c>
      <c r="J288" s="12"/>
    </row>
    <row r="289" spans="1:10" x14ac:dyDescent="0.2">
      <c r="A289" s="4" t="s">
        <v>963</v>
      </c>
      <c r="B289" s="1">
        <v>1.9</v>
      </c>
      <c r="C289" s="1" t="s">
        <v>13</v>
      </c>
      <c r="D289" s="1" t="str">
        <f>"60/86"</f>
        <v>60/86</v>
      </c>
      <c r="E289" s="1">
        <v>0.1</v>
      </c>
      <c r="F289" s="1" t="s">
        <v>964</v>
      </c>
      <c r="G289" s="1" t="s">
        <v>965</v>
      </c>
      <c r="H289" s="4" t="s">
        <v>21</v>
      </c>
      <c r="I289" s="4" t="s">
        <v>94</v>
      </c>
      <c r="J289" s="12"/>
    </row>
    <row r="290" spans="1:10" x14ac:dyDescent="0.2">
      <c r="A290" s="4" t="s">
        <v>997</v>
      </c>
      <c r="B290" s="1">
        <v>1.9</v>
      </c>
      <c r="C290" s="1" t="s">
        <v>7</v>
      </c>
      <c r="D290" s="1" t="str">
        <f>"264/344"</f>
        <v>264/344</v>
      </c>
      <c r="E290" s="1">
        <v>0.3</v>
      </c>
      <c r="F290" s="1" t="s">
        <v>998</v>
      </c>
      <c r="G290" s="1" t="s">
        <v>999</v>
      </c>
      <c r="H290" s="4" t="s">
        <v>21</v>
      </c>
      <c r="I290" s="4" t="s">
        <v>112</v>
      </c>
      <c r="J290" s="12"/>
    </row>
    <row r="291" spans="1:10" ht="28.5" x14ac:dyDescent="0.2">
      <c r="A291" s="4" t="s">
        <v>389</v>
      </c>
      <c r="B291" s="1">
        <v>1.8</v>
      </c>
      <c r="C291" s="1" t="s">
        <v>13</v>
      </c>
      <c r="D291" s="1" t="str">
        <f>"113/160"</f>
        <v>113/160</v>
      </c>
      <c r="E291" s="1">
        <v>0.5</v>
      </c>
      <c r="F291" s="1" t="s">
        <v>390</v>
      </c>
      <c r="G291" s="1" t="s">
        <v>391</v>
      </c>
      <c r="H291" s="4" t="s">
        <v>21</v>
      </c>
      <c r="I291" s="4" t="s">
        <v>90</v>
      </c>
      <c r="J291" s="12"/>
    </row>
    <row r="292" spans="1:10" x14ac:dyDescent="0.2">
      <c r="A292" s="4" t="s">
        <v>487</v>
      </c>
      <c r="B292" s="1">
        <v>1.8</v>
      </c>
      <c r="C292" s="1" t="s">
        <v>13</v>
      </c>
      <c r="D292" s="1" t="str">
        <f>"41/79"</f>
        <v>41/79</v>
      </c>
      <c r="E292" s="1">
        <v>0.3</v>
      </c>
      <c r="F292" s="1" t="s">
        <v>488</v>
      </c>
      <c r="G292" s="1" t="s">
        <v>489</v>
      </c>
      <c r="H292" s="4" t="s">
        <v>21</v>
      </c>
      <c r="I292" s="4" t="s">
        <v>22</v>
      </c>
      <c r="J292" s="12"/>
    </row>
    <row r="293" spans="1:10" x14ac:dyDescent="0.2">
      <c r="A293" s="4" t="s">
        <v>542</v>
      </c>
      <c r="B293" s="1">
        <v>1.8</v>
      </c>
      <c r="C293" s="1" t="s">
        <v>13</v>
      </c>
      <c r="D293" s="1" t="str">
        <f>"41/79"</f>
        <v>41/79</v>
      </c>
      <c r="E293" s="1">
        <v>0.3</v>
      </c>
      <c r="F293" s="1" t="s">
        <v>543</v>
      </c>
      <c r="G293" s="1" t="s">
        <v>544</v>
      </c>
      <c r="H293" s="4" t="s">
        <v>10</v>
      </c>
      <c r="I293" s="4" t="s">
        <v>116</v>
      </c>
      <c r="J293" s="12"/>
    </row>
    <row r="294" spans="1:10" ht="28.5" x14ac:dyDescent="0.2">
      <c r="A294" s="4" t="s">
        <v>859</v>
      </c>
      <c r="B294" s="1">
        <v>1.8</v>
      </c>
      <c r="C294" s="1" t="s">
        <v>13</v>
      </c>
      <c r="D294" s="1" t="str">
        <f>"41/79"</f>
        <v>41/79</v>
      </c>
      <c r="E294" s="1">
        <v>0.3</v>
      </c>
      <c r="F294" s="1" t="s">
        <v>860</v>
      </c>
      <c r="G294" s="1" t="s">
        <v>861</v>
      </c>
      <c r="H294" s="4" t="s">
        <v>72</v>
      </c>
      <c r="I294" s="4" t="s">
        <v>73</v>
      </c>
      <c r="J294" s="12"/>
    </row>
    <row r="295" spans="1:10" x14ac:dyDescent="0.2">
      <c r="A295" s="4" t="s">
        <v>1059</v>
      </c>
      <c r="B295" s="1">
        <v>1.8</v>
      </c>
      <c r="C295" s="1" t="s">
        <v>13</v>
      </c>
      <c r="D295" s="1" t="str">
        <f>"41/79"</f>
        <v>41/79</v>
      </c>
      <c r="E295" s="1">
        <v>0.2</v>
      </c>
      <c r="F295" s="1" t="s">
        <v>1060</v>
      </c>
      <c r="G295" s="1" t="s">
        <v>1061</v>
      </c>
      <c r="H295" s="4" t="s">
        <v>21</v>
      </c>
      <c r="I295" s="4" t="s">
        <v>22</v>
      </c>
      <c r="J295" s="12"/>
    </row>
    <row r="296" spans="1:10" x14ac:dyDescent="0.2">
      <c r="A296" s="4" t="s">
        <v>1148</v>
      </c>
      <c r="B296" s="1">
        <v>1.8</v>
      </c>
      <c r="C296" s="1" t="s">
        <v>7</v>
      </c>
      <c r="D296" s="1" t="str">
        <f>"269/344"</f>
        <v>269/344</v>
      </c>
      <c r="E296" s="1">
        <v>0.4</v>
      </c>
      <c r="F296" s="1" t="s">
        <v>1149</v>
      </c>
      <c r="G296" s="1" t="s">
        <v>1150</v>
      </c>
      <c r="H296" s="4" t="s">
        <v>51</v>
      </c>
      <c r="I296" s="4" t="s">
        <v>1151</v>
      </c>
      <c r="J296" s="12"/>
    </row>
    <row r="297" spans="1:10" x14ac:dyDescent="0.2">
      <c r="A297" s="4" t="s">
        <v>434</v>
      </c>
      <c r="B297" s="1">
        <v>1.7</v>
      </c>
      <c r="C297" s="1" t="s">
        <v>13</v>
      </c>
      <c r="D297" s="1" t="str">
        <f>"99/137"</f>
        <v>99/137</v>
      </c>
      <c r="E297" s="1">
        <v>0.5</v>
      </c>
      <c r="F297" s="1" t="s">
        <v>435</v>
      </c>
      <c r="G297" s="1" t="s">
        <v>436</v>
      </c>
      <c r="H297" s="4" t="s">
        <v>28</v>
      </c>
      <c r="I297" s="4" t="s">
        <v>108</v>
      </c>
      <c r="J297" s="12"/>
    </row>
    <row r="298" spans="1:10" ht="28.5" x14ac:dyDescent="0.2">
      <c r="A298" s="4" t="s">
        <v>502</v>
      </c>
      <c r="B298" s="1">
        <v>1.7</v>
      </c>
      <c r="C298" s="1" t="s">
        <v>7</v>
      </c>
      <c r="D298" s="1" t="str">
        <f>"277/344"</f>
        <v>277/344</v>
      </c>
      <c r="E298" s="1">
        <v>0.3</v>
      </c>
      <c r="F298" s="1" t="s">
        <v>503</v>
      </c>
      <c r="G298" s="1" t="s">
        <v>504</v>
      </c>
      <c r="H298" s="4" t="s">
        <v>120</v>
      </c>
      <c r="I298" s="4" t="s">
        <v>505</v>
      </c>
      <c r="J298" s="12"/>
    </row>
    <row r="299" spans="1:10" x14ac:dyDescent="0.2">
      <c r="A299" s="4" t="s">
        <v>612</v>
      </c>
      <c r="B299" s="1">
        <v>1.7</v>
      </c>
      <c r="C299" s="1" t="s">
        <v>18</v>
      </c>
      <c r="D299" s="1" t="str">
        <f>"12/26"</f>
        <v>12/26</v>
      </c>
      <c r="E299" s="1">
        <v>0.3</v>
      </c>
      <c r="F299" s="1" t="s">
        <v>613</v>
      </c>
      <c r="G299" s="1" t="s">
        <v>614</v>
      </c>
      <c r="H299" s="4" t="s">
        <v>21</v>
      </c>
      <c r="I299" s="4" t="s">
        <v>22</v>
      </c>
      <c r="J299" s="12"/>
    </row>
    <row r="300" spans="1:10" x14ac:dyDescent="0.2">
      <c r="A300" s="4" t="s">
        <v>704</v>
      </c>
      <c r="B300" s="1">
        <v>1.7</v>
      </c>
      <c r="C300" s="1" t="s">
        <v>13</v>
      </c>
      <c r="D300" s="1" t="str">
        <f>"120/160"</f>
        <v>120/160</v>
      </c>
      <c r="E300" s="1">
        <v>0.2</v>
      </c>
      <c r="F300" s="1" t="s">
        <v>705</v>
      </c>
      <c r="G300" s="1" t="s">
        <v>706</v>
      </c>
      <c r="H300" s="4" t="s">
        <v>39</v>
      </c>
      <c r="I300" s="4" t="s">
        <v>707</v>
      </c>
      <c r="J300" s="12"/>
    </row>
    <row r="301" spans="1:10" x14ac:dyDescent="0.2">
      <c r="A301" s="4" t="s">
        <v>763</v>
      </c>
      <c r="B301" s="1">
        <v>1.7</v>
      </c>
      <c r="C301" s="1" t="s">
        <v>18</v>
      </c>
      <c r="D301" s="1" t="str">
        <f>"14/29"</f>
        <v>14/29</v>
      </c>
      <c r="E301" s="1">
        <v>0.4</v>
      </c>
      <c r="F301" s="1" t="s">
        <v>764</v>
      </c>
      <c r="G301" s="1" t="s">
        <v>9</v>
      </c>
      <c r="H301" s="4" t="s">
        <v>59</v>
      </c>
      <c r="I301" s="4" t="s">
        <v>167</v>
      </c>
      <c r="J301" s="12"/>
    </row>
    <row r="302" spans="1:10" x14ac:dyDescent="0.2">
      <c r="A302" s="4" t="s">
        <v>794</v>
      </c>
      <c r="B302" s="1">
        <v>1.7</v>
      </c>
      <c r="C302" s="1" t="s">
        <v>18</v>
      </c>
      <c r="D302" s="1" t="str">
        <f>"14/29"</f>
        <v>14/29</v>
      </c>
      <c r="E302" s="1">
        <v>0.3</v>
      </c>
      <c r="F302" s="1" t="s">
        <v>795</v>
      </c>
      <c r="G302" s="1" t="s">
        <v>796</v>
      </c>
      <c r="H302" s="4" t="s">
        <v>64</v>
      </c>
      <c r="I302" s="4" t="s">
        <v>108</v>
      </c>
      <c r="J302" s="12"/>
    </row>
    <row r="303" spans="1:10" x14ac:dyDescent="0.2">
      <c r="A303" s="4" t="s">
        <v>797</v>
      </c>
      <c r="B303" s="1">
        <v>1.7</v>
      </c>
      <c r="C303" s="1" t="s">
        <v>13</v>
      </c>
      <c r="D303" s="1" t="str">
        <f>"64/86"</f>
        <v>64/86</v>
      </c>
      <c r="E303" s="1">
        <v>0.2</v>
      </c>
      <c r="F303" s="1" t="s">
        <v>798</v>
      </c>
      <c r="G303" s="1" t="s">
        <v>799</v>
      </c>
      <c r="H303" s="4" t="s">
        <v>21</v>
      </c>
      <c r="I303" s="4" t="s">
        <v>68</v>
      </c>
      <c r="J303" s="12"/>
    </row>
    <row r="304" spans="1:10" x14ac:dyDescent="0.2">
      <c r="A304" s="4" t="s">
        <v>832</v>
      </c>
      <c r="B304" s="1">
        <v>1.7</v>
      </c>
      <c r="C304" s="1" t="s">
        <v>13</v>
      </c>
      <c r="D304" s="1" t="str">
        <f>"64/86"</f>
        <v>64/86</v>
      </c>
      <c r="E304" s="1">
        <v>0.3</v>
      </c>
      <c r="F304" s="1" t="s">
        <v>833</v>
      </c>
      <c r="G304" s="1" t="s">
        <v>834</v>
      </c>
      <c r="H304" s="4" t="s">
        <v>21</v>
      </c>
      <c r="I304" s="4" t="s">
        <v>68</v>
      </c>
      <c r="J304" s="12"/>
    </row>
    <row r="305" spans="1:10" x14ac:dyDescent="0.2">
      <c r="A305" s="4" t="s">
        <v>1304</v>
      </c>
      <c r="B305" s="1">
        <v>1.7</v>
      </c>
      <c r="C305" s="1" t="s">
        <v>13</v>
      </c>
      <c r="D305" s="1" t="str">
        <f>"48/68"</f>
        <v>48/68</v>
      </c>
      <c r="E305" s="1">
        <v>0.3</v>
      </c>
      <c r="F305" s="1" t="s">
        <v>1305</v>
      </c>
      <c r="G305" s="1" t="s">
        <v>1306</v>
      </c>
      <c r="H305" s="4" t="s">
        <v>28</v>
      </c>
      <c r="I305" s="4" t="s">
        <v>1307</v>
      </c>
      <c r="J305" s="12"/>
    </row>
    <row r="306" spans="1:10" x14ac:dyDescent="0.2">
      <c r="A306" s="4" t="s">
        <v>48</v>
      </c>
      <c r="B306" s="1">
        <v>1.6</v>
      </c>
      <c r="C306" s="1" t="s">
        <v>13</v>
      </c>
      <c r="D306" s="1" t="str">
        <f>"45/79"</f>
        <v>45/79</v>
      </c>
      <c r="E306" s="1">
        <v>0.4</v>
      </c>
      <c r="F306" s="1" t="s">
        <v>49</v>
      </c>
      <c r="G306" s="1" t="s">
        <v>50</v>
      </c>
      <c r="H306" s="4" t="s">
        <v>51</v>
      </c>
      <c r="I306" s="4" t="s">
        <v>52</v>
      </c>
      <c r="J306" s="12"/>
    </row>
    <row r="307" spans="1:10" x14ac:dyDescent="0.2">
      <c r="A307" s="4" t="s">
        <v>291</v>
      </c>
      <c r="B307" s="1">
        <v>1.6</v>
      </c>
      <c r="C307" s="1" t="s">
        <v>13</v>
      </c>
      <c r="D307" s="1" t="str">
        <f>"20/32"</f>
        <v>20/32</v>
      </c>
      <c r="E307" s="1">
        <v>0.6</v>
      </c>
      <c r="F307" s="1" t="s">
        <v>292</v>
      </c>
      <c r="G307" s="1" t="s">
        <v>293</v>
      </c>
      <c r="H307" s="4" t="s">
        <v>64</v>
      </c>
      <c r="I307" s="4" t="s">
        <v>108</v>
      </c>
      <c r="J307" s="12"/>
    </row>
    <row r="308" spans="1:10" x14ac:dyDescent="0.2">
      <c r="A308" s="4" t="s">
        <v>294</v>
      </c>
      <c r="B308" s="1">
        <v>1.6</v>
      </c>
      <c r="C308" s="1" t="s">
        <v>13</v>
      </c>
      <c r="D308" s="1" t="str">
        <f>"45/79"</f>
        <v>45/79</v>
      </c>
      <c r="E308" s="1">
        <v>0.2</v>
      </c>
      <c r="F308" s="1" t="s">
        <v>295</v>
      </c>
      <c r="G308" s="1" t="s">
        <v>296</v>
      </c>
      <c r="H308" s="4" t="s">
        <v>21</v>
      </c>
      <c r="I308" s="4" t="s">
        <v>22</v>
      </c>
      <c r="J308" s="12"/>
    </row>
    <row r="309" spans="1:10" ht="28.5" x14ac:dyDescent="0.2">
      <c r="A309" s="4" t="s">
        <v>589</v>
      </c>
      <c r="B309" s="1">
        <v>1.6</v>
      </c>
      <c r="C309" s="1" t="s">
        <v>7</v>
      </c>
      <c r="D309" s="1" t="str">
        <f>"282/344"</f>
        <v>282/344</v>
      </c>
      <c r="E309" s="1">
        <v>0.3</v>
      </c>
      <c r="F309" s="1" t="s">
        <v>590</v>
      </c>
      <c r="G309" s="1" t="s">
        <v>591</v>
      </c>
      <c r="H309" s="4" t="s">
        <v>59</v>
      </c>
      <c r="I309" s="4" t="s">
        <v>592</v>
      </c>
      <c r="J309" s="12"/>
    </row>
    <row r="310" spans="1:10" x14ac:dyDescent="0.2">
      <c r="A310" s="4" t="s">
        <v>1062</v>
      </c>
      <c r="B310" s="1">
        <v>1.6</v>
      </c>
      <c r="C310" s="1" t="s">
        <v>13</v>
      </c>
      <c r="D310" s="1" t="str">
        <f>"45/79"</f>
        <v>45/79</v>
      </c>
      <c r="E310" s="1">
        <v>0.4</v>
      </c>
      <c r="F310" s="1" t="s">
        <v>1063</v>
      </c>
      <c r="G310" s="1" t="s">
        <v>1064</v>
      </c>
      <c r="H310" s="4" t="s">
        <v>28</v>
      </c>
      <c r="I310" s="4" t="s">
        <v>1065</v>
      </c>
      <c r="J310" s="12"/>
    </row>
    <row r="311" spans="1:10" x14ac:dyDescent="0.2">
      <c r="A311" s="4" t="s">
        <v>1083</v>
      </c>
      <c r="B311" s="1">
        <v>1.6</v>
      </c>
      <c r="C311" s="1" t="s">
        <v>7</v>
      </c>
      <c r="D311" s="1" t="str">
        <f>"26/28"</f>
        <v>26/28</v>
      </c>
      <c r="E311" s="1">
        <v>0.3</v>
      </c>
      <c r="F311" s="1" t="s">
        <v>9</v>
      </c>
      <c r="G311" s="1" t="s">
        <v>1084</v>
      </c>
      <c r="H311" s="4" t="s">
        <v>21</v>
      </c>
      <c r="I311" s="4" t="s">
        <v>68</v>
      </c>
      <c r="J311" s="12"/>
    </row>
    <row r="312" spans="1:10" x14ac:dyDescent="0.2">
      <c r="A312" s="4" t="s">
        <v>1097</v>
      </c>
      <c r="B312" s="1">
        <v>1.6</v>
      </c>
      <c r="C312" s="1" t="s">
        <v>13</v>
      </c>
      <c r="D312" s="1" t="str">
        <f>"45/79"</f>
        <v>45/79</v>
      </c>
      <c r="E312" s="1">
        <v>0.2</v>
      </c>
      <c r="F312" s="1" t="s">
        <v>1098</v>
      </c>
      <c r="G312" s="1" t="s">
        <v>1099</v>
      </c>
      <c r="H312" s="4" t="s">
        <v>59</v>
      </c>
      <c r="I312" s="4" t="s">
        <v>1100</v>
      </c>
      <c r="J312" s="12"/>
    </row>
    <row r="313" spans="1:10" x14ac:dyDescent="0.2">
      <c r="A313" s="4" t="s">
        <v>1129</v>
      </c>
      <c r="B313" s="1">
        <v>1.6</v>
      </c>
      <c r="C313" s="1" t="s">
        <v>7</v>
      </c>
      <c r="D313" s="1" t="str">
        <f>"67/86"</f>
        <v>67/86</v>
      </c>
      <c r="E313" s="1">
        <v>0.2</v>
      </c>
      <c r="F313" s="1" t="s">
        <v>1130</v>
      </c>
      <c r="G313" s="1" t="s">
        <v>1131</v>
      </c>
      <c r="H313" s="4" t="s">
        <v>21</v>
      </c>
      <c r="I313" s="4" t="s">
        <v>68</v>
      </c>
      <c r="J313" s="12"/>
    </row>
    <row r="314" spans="1:10" x14ac:dyDescent="0.2">
      <c r="A314" s="4" t="s">
        <v>1217</v>
      </c>
      <c r="B314" s="1">
        <v>1.6</v>
      </c>
      <c r="C314" s="1" t="s">
        <v>7</v>
      </c>
      <c r="D314" s="1" t="str">
        <f>"126/160"</f>
        <v>126/160</v>
      </c>
      <c r="E314" s="1">
        <v>0.3</v>
      </c>
      <c r="F314" s="1" t="s">
        <v>1218</v>
      </c>
      <c r="G314" s="1" t="s">
        <v>1218</v>
      </c>
      <c r="H314" s="4" t="s">
        <v>28</v>
      </c>
      <c r="I314" s="4" t="s">
        <v>1176</v>
      </c>
      <c r="J314" s="12"/>
    </row>
    <row r="315" spans="1:10" ht="28.5" x14ac:dyDescent="0.2">
      <c r="A315" s="4" t="s">
        <v>156</v>
      </c>
      <c r="B315" s="1">
        <v>1.5</v>
      </c>
      <c r="C315" s="1" t="s">
        <v>13</v>
      </c>
      <c r="D315" s="1" t="str">
        <f>"16/29"</f>
        <v>16/29</v>
      </c>
      <c r="E315" s="1">
        <v>0.2</v>
      </c>
      <c r="F315" s="1" t="s">
        <v>157</v>
      </c>
      <c r="G315" s="1" t="s">
        <v>9</v>
      </c>
      <c r="H315" s="4" t="s">
        <v>158</v>
      </c>
      <c r="I315" s="4" t="s">
        <v>159</v>
      </c>
      <c r="J315" s="12"/>
    </row>
    <row r="316" spans="1:10" x14ac:dyDescent="0.2">
      <c r="A316" s="4" t="s">
        <v>568</v>
      </c>
      <c r="B316" s="1">
        <v>1.5</v>
      </c>
      <c r="C316" s="1" t="s">
        <v>18</v>
      </c>
      <c r="D316" s="1" t="str">
        <f>"9/21"</f>
        <v>9/21</v>
      </c>
      <c r="E316" s="1">
        <v>1.1000000000000001</v>
      </c>
      <c r="F316" s="1" t="s">
        <v>569</v>
      </c>
      <c r="G316" s="1" t="s">
        <v>570</v>
      </c>
      <c r="H316" s="4" t="s">
        <v>571</v>
      </c>
      <c r="I316" s="4" t="s">
        <v>572</v>
      </c>
      <c r="J316" s="12"/>
    </row>
    <row r="317" spans="1:10" x14ac:dyDescent="0.2">
      <c r="A317" s="4" t="s">
        <v>957</v>
      </c>
      <c r="B317" s="1">
        <v>1.5</v>
      </c>
      <c r="C317" s="1" t="s">
        <v>7</v>
      </c>
      <c r="D317" s="1" t="str">
        <f>"286/344"</f>
        <v>286/344</v>
      </c>
      <c r="E317" s="1">
        <v>0.2</v>
      </c>
      <c r="F317" s="1" t="s">
        <v>958</v>
      </c>
      <c r="G317" s="1" t="s">
        <v>959</v>
      </c>
      <c r="H317" s="4" t="s">
        <v>960</v>
      </c>
      <c r="I317" s="4" t="s">
        <v>177</v>
      </c>
      <c r="J317" s="12"/>
    </row>
    <row r="318" spans="1:10" x14ac:dyDescent="0.2">
      <c r="A318" s="4" t="s">
        <v>1048</v>
      </c>
      <c r="B318" s="1">
        <v>1.5</v>
      </c>
      <c r="C318" s="1" t="s">
        <v>7</v>
      </c>
      <c r="D318" s="1" t="str">
        <f>"286/344"</f>
        <v>286/344</v>
      </c>
      <c r="E318" s="1">
        <v>0.7</v>
      </c>
      <c r="F318" s="1" t="s">
        <v>1049</v>
      </c>
      <c r="G318" s="1" t="s">
        <v>1050</v>
      </c>
      <c r="H318" s="4" t="s">
        <v>215</v>
      </c>
      <c r="I318" s="4" t="s">
        <v>216</v>
      </c>
      <c r="J318" s="12"/>
    </row>
    <row r="319" spans="1:10" ht="28.5" x14ac:dyDescent="0.2">
      <c r="A319" s="4" t="s">
        <v>1155</v>
      </c>
      <c r="B319" s="1">
        <v>1.5</v>
      </c>
      <c r="C319" s="1" t="s">
        <v>18</v>
      </c>
      <c r="D319" s="1" t="str">
        <f>"9/21"</f>
        <v>9/21</v>
      </c>
      <c r="E319" s="1">
        <v>0.4</v>
      </c>
      <c r="F319" s="1" t="s">
        <v>1156</v>
      </c>
      <c r="G319" s="1" t="s">
        <v>1156</v>
      </c>
      <c r="H319" s="4" t="s">
        <v>28</v>
      </c>
      <c r="I319" s="4" t="s">
        <v>1157</v>
      </c>
      <c r="J319" s="12"/>
    </row>
    <row r="320" spans="1:10" x14ac:dyDescent="0.2">
      <c r="A320" s="4" t="s">
        <v>202</v>
      </c>
      <c r="B320" s="1">
        <v>1.4</v>
      </c>
      <c r="C320" s="1" t="s">
        <v>13</v>
      </c>
      <c r="D320" s="1" t="str">
        <f>"23/32"</f>
        <v>23/32</v>
      </c>
      <c r="E320" s="1">
        <v>0.1</v>
      </c>
      <c r="F320" s="1" t="s">
        <v>203</v>
      </c>
      <c r="G320" s="1" t="s">
        <v>204</v>
      </c>
      <c r="H320" s="4" t="s">
        <v>28</v>
      </c>
      <c r="I320" s="4" t="s">
        <v>133</v>
      </c>
      <c r="J320" s="12"/>
    </row>
    <row r="321" spans="1:10" x14ac:dyDescent="0.2">
      <c r="A321" s="4" t="s">
        <v>263</v>
      </c>
      <c r="B321" s="1">
        <v>1.4</v>
      </c>
      <c r="C321" s="1" t="s">
        <v>13</v>
      </c>
      <c r="D321" s="1" t="str">
        <f>"50/79"</f>
        <v>50/79</v>
      </c>
      <c r="E321" s="1">
        <v>0.5</v>
      </c>
      <c r="F321" s="1" t="s">
        <v>264</v>
      </c>
      <c r="G321" s="1" t="s">
        <v>265</v>
      </c>
      <c r="H321" s="4" t="s">
        <v>21</v>
      </c>
      <c r="I321" s="4" t="s">
        <v>22</v>
      </c>
      <c r="J321" s="12"/>
    </row>
    <row r="322" spans="1:10" x14ac:dyDescent="0.2">
      <c r="A322" s="4" t="s">
        <v>279</v>
      </c>
      <c r="B322" s="1">
        <v>1.4</v>
      </c>
      <c r="C322" s="1" t="s">
        <v>13</v>
      </c>
      <c r="D322" s="1" t="str">
        <f>"53/73"</f>
        <v>53/73</v>
      </c>
      <c r="E322" s="1">
        <v>0.3</v>
      </c>
      <c r="F322" s="1" t="s">
        <v>280</v>
      </c>
      <c r="G322" s="1" t="s">
        <v>281</v>
      </c>
      <c r="H322" s="4" t="s">
        <v>21</v>
      </c>
      <c r="I322" s="4" t="s">
        <v>94</v>
      </c>
      <c r="J322" s="12"/>
    </row>
    <row r="323" spans="1:10" x14ac:dyDescent="0.2">
      <c r="A323" s="4" t="s">
        <v>599</v>
      </c>
      <c r="B323" s="1">
        <v>1.4</v>
      </c>
      <c r="C323" s="1" t="s">
        <v>7</v>
      </c>
      <c r="D323" s="1" t="str">
        <f>"226/275"</f>
        <v>226/275</v>
      </c>
      <c r="E323" s="1">
        <v>0.4</v>
      </c>
      <c r="F323" s="1" t="s">
        <v>600</v>
      </c>
      <c r="G323" s="1" t="s">
        <v>601</v>
      </c>
      <c r="H323" s="4" t="s">
        <v>28</v>
      </c>
      <c r="I323" s="4" t="s">
        <v>602</v>
      </c>
      <c r="J323" s="12"/>
    </row>
    <row r="324" spans="1:10" x14ac:dyDescent="0.2">
      <c r="A324" s="4" t="s">
        <v>911</v>
      </c>
      <c r="B324" s="1">
        <v>1.4</v>
      </c>
      <c r="C324" s="1" t="s">
        <v>13</v>
      </c>
      <c r="D324" s="1" t="str">
        <f>"50/79"</f>
        <v>50/79</v>
      </c>
      <c r="E324" s="1">
        <v>0.1</v>
      </c>
      <c r="F324" s="1" t="s">
        <v>912</v>
      </c>
      <c r="G324" s="1" t="s">
        <v>913</v>
      </c>
      <c r="H324" s="4" t="s">
        <v>21</v>
      </c>
      <c r="I324" s="4" t="s">
        <v>22</v>
      </c>
      <c r="J324" s="12"/>
    </row>
    <row r="325" spans="1:10" ht="42.75" x14ac:dyDescent="0.2">
      <c r="A325" s="4" t="s">
        <v>940</v>
      </c>
      <c r="B325" s="1">
        <v>1.4</v>
      </c>
      <c r="C325" s="1" t="s">
        <v>18</v>
      </c>
      <c r="D325" s="1" t="str">
        <f>"13/26"</f>
        <v>13/26</v>
      </c>
      <c r="E325" s="1">
        <v>0.1</v>
      </c>
      <c r="F325" s="1" t="s">
        <v>941</v>
      </c>
      <c r="G325" s="1" t="s">
        <v>9</v>
      </c>
      <c r="H325" s="4" t="s">
        <v>191</v>
      </c>
      <c r="I325" s="4" t="s">
        <v>942</v>
      </c>
      <c r="J325" s="12"/>
    </row>
    <row r="326" spans="1:10" ht="28.5" x14ac:dyDescent="0.2">
      <c r="A326" s="4" t="s">
        <v>12</v>
      </c>
      <c r="B326" s="1">
        <v>1.3</v>
      </c>
      <c r="C326" s="1" t="s">
        <v>13</v>
      </c>
      <c r="D326" s="1" t="str">
        <f>"12/21"</f>
        <v>12/21</v>
      </c>
      <c r="E326" s="1">
        <v>0.1</v>
      </c>
      <c r="F326" s="1" t="s">
        <v>14</v>
      </c>
      <c r="G326" s="1" t="s">
        <v>9</v>
      </c>
      <c r="H326" s="4" t="s">
        <v>15</v>
      </c>
      <c r="I326" s="4" t="s">
        <v>16</v>
      </c>
      <c r="J326" s="12"/>
    </row>
    <row r="327" spans="1:10" x14ac:dyDescent="0.2">
      <c r="A327" s="4" t="s">
        <v>533</v>
      </c>
      <c r="B327" s="1">
        <v>1.3</v>
      </c>
      <c r="C327" s="1" t="s">
        <v>13</v>
      </c>
      <c r="D327" s="1" t="str">
        <f>"53/79"</f>
        <v>53/79</v>
      </c>
      <c r="E327" s="1">
        <v>0.2</v>
      </c>
      <c r="F327" s="1" t="s">
        <v>534</v>
      </c>
      <c r="G327" s="1" t="s">
        <v>535</v>
      </c>
      <c r="H327" s="4" t="s">
        <v>21</v>
      </c>
      <c r="I327" s="4" t="s">
        <v>22</v>
      </c>
      <c r="J327" s="12"/>
    </row>
    <row r="328" spans="1:10" ht="28.5" x14ac:dyDescent="0.2">
      <c r="A328" s="4" t="s">
        <v>813</v>
      </c>
      <c r="B328" s="1">
        <v>1.3</v>
      </c>
      <c r="C328" s="1" t="s">
        <v>13</v>
      </c>
      <c r="D328" s="1" t="str">
        <f>"17/29"</f>
        <v>17/29</v>
      </c>
      <c r="E328" s="1">
        <v>0.9</v>
      </c>
      <c r="F328" s="1" t="s">
        <v>814</v>
      </c>
      <c r="G328" s="1" t="s">
        <v>814</v>
      </c>
      <c r="H328" s="4" t="s">
        <v>404</v>
      </c>
      <c r="I328" s="4" t="s">
        <v>815</v>
      </c>
      <c r="J328" s="12"/>
    </row>
    <row r="329" spans="1:10" ht="28.5" x14ac:dyDescent="0.2">
      <c r="A329" s="4" t="s">
        <v>981</v>
      </c>
      <c r="B329" s="1">
        <v>1.3</v>
      </c>
      <c r="C329" s="1" t="s">
        <v>7</v>
      </c>
      <c r="D329" s="1" t="str">
        <f>"291/344"</f>
        <v>291/344</v>
      </c>
      <c r="E329" s="1">
        <v>0.4</v>
      </c>
      <c r="F329" s="1" t="s">
        <v>982</v>
      </c>
      <c r="G329" s="1" t="s">
        <v>983</v>
      </c>
      <c r="H329" s="4" t="s">
        <v>917</v>
      </c>
      <c r="I329" s="4" t="s">
        <v>984</v>
      </c>
      <c r="J329" s="12"/>
    </row>
    <row r="330" spans="1:10" x14ac:dyDescent="0.2">
      <c r="A330" s="4" t="s">
        <v>1123</v>
      </c>
      <c r="B330" s="1">
        <v>1.3</v>
      </c>
      <c r="C330" s="1" t="s">
        <v>13</v>
      </c>
      <c r="D330" s="1" t="str">
        <f>"12/21"</f>
        <v>12/21</v>
      </c>
      <c r="E330" s="1">
        <v>0.3</v>
      </c>
      <c r="F330" s="1" t="s">
        <v>1124</v>
      </c>
      <c r="G330" s="1" t="s">
        <v>1124</v>
      </c>
      <c r="H330" s="4" t="s">
        <v>191</v>
      </c>
      <c r="I330" s="4" t="s">
        <v>1125</v>
      </c>
      <c r="J330" s="12"/>
    </row>
    <row r="331" spans="1:10" x14ac:dyDescent="0.2">
      <c r="A331" s="4" t="s">
        <v>53</v>
      </c>
      <c r="B331" s="1">
        <v>1.2</v>
      </c>
      <c r="C331" s="1" t="s">
        <v>13</v>
      </c>
      <c r="D331" s="1" t="str">
        <f>"18/29"</f>
        <v>18/29</v>
      </c>
      <c r="E331" s="1">
        <v>0.3</v>
      </c>
      <c r="F331" s="1" t="s">
        <v>54</v>
      </c>
      <c r="G331" s="1" t="s">
        <v>55</v>
      </c>
      <c r="H331" s="4" t="s">
        <v>51</v>
      </c>
      <c r="I331" s="4" t="s">
        <v>22</v>
      </c>
      <c r="J331" s="12"/>
    </row>
    <row r="332" spans="1:10" x14ac:dyDescent="0.2">
      <c r="A332" s="4" t="s">
        <v>130</v>
      </c>
      <c r="B332" s="1">
        <v>1.2</v>
      </c>
      <c r="C332" s="1" t="s">
        <v>7</v>
      </c>
      <c r="D332" s="1" t="str">
        <f>"295/344"</f>
        <v>295/344</v>
      </c>
      <c r="E332" s="1">
        <v>0.5</v>
      </c>
      <c r="F332" s="1" t="s">
        <v>131</v>
      </c>
      <c r="G332" s="1" t="s">
        <v>132</v>
      </c>
      <c r="H332" s="4" t="s">
        <v>28</v>
      </c>
      <c r="I332" s="4" t="s">
        <v>133</v>
      </c>
      <c r="J332" s="12"/>
    </row>
    <row r="333" spans="1:10" ht="28.5" x14ac:dyDescent="0.2">
      <c r="A333" s="4" t="s">
        <v>147</v>
      </c>
      <c r="B333" s="1">
        <v>1.2</v>
      </c>
      <c r="C333" s="1" t="s">
        <v>7</v>
      </c>
      <c r="D333" s="1" t="str">
        <f>"54/63"</f>
        <v>54/63</v>
      </c>
      <c r="E333" s="1">
        <v>0.2</v>
      </c>
      <c r="F333" s="1" t="s">
        <v>148</v>
      </c>
      <c r="G333" s="1" t="s">
        <v>148</v>
      </c>
      <c r="H333" s="4" t="s">
        <v>72</v>
      </c>
      <c r="I333" s="4" t="s">
        <v>149</v>
      </c>
      <c r="J333" s="12"/>
    </row>
    <row r="334" spans="1:10" ht="42.75" x14ac:dyDescent="0.2">
      <c r="A334" s="4" t="s">
        <v>282</v>
      </c>
      <c r="B334" s="1">
        <v>1.2</v>
      </c>
      <c r="C334" s="1" t="s">
        <v>13</v>
      </c>
      <c r="D334" s="1" t="str">
        <f>"54/79"</f>
        <v>54/79</v>
      </c>
      <c r="E334" s="1">
        <v>0.2</v>
      </c>
      <c r="F334" s="1" t="s">
        <v>283</v>
      </c>
      <c r="G334" s="1" t="s">
        <v>284</v>
      </c>
      <c r="H334" s="4" t="s">
        <v>184</v>
      </c>
      <c r="I334" s="4" t="s">
        <v>232</v>
      </c>
      <c r="J334" s="12"/>
    </row>
    <row r="335" spans="1:10" x14ac:dyDescent="0.2">
      <c r="A335" s="4" t="s">
        <v>325</v>
      </c>
      <c r="B335" s="1">
        <v>1.2</v>
      </c>
      <c r="C335" s="1" t="s">
        <v>13</v>
      </c>
      <c r="D335" s="1" t="str">
        <f>"14/21"</f>
        <v>14/21</v>
      </c>
      <c r="E335" s="1">
        <v>0.4</v>
      </c>
      <c r="F335" s="1" t="s">
        <v>326</v>
      </c>
      <c r="G335" s="1" t="s">
        <v>327</v>
      </c>
      <c r="H335" s="4" t="s">
        <v>10</v>
      </c>
      <c r="I335" s="4" t="s">
        <v>259</v>
      </c>
      <c r="J335" s="12"/>
    </row>
    <row r="336" spans="1:10" x14ac:dyDescent="0.2">
      <c r="A336" s="4" t="s">
        <v>447</v>
      </c>
      <c r="B336" s="1">
        <v>1.2</v>
      </c>
      <c r="C336" s="1" t="s">
        <v>13</v>
      </c>
      <c r="D336" s="1" t="str">
        <f>"54/79"</f>
        <v>54/79</v>
      </c>
      <c r="E336" s="1">
        <v>0.2</v>
      </c>
      <c r="F336" s="1" t="s">
        <v>448</v>
      </c>
      <c r="G336" s="1" t="s">
        <v>449</v>
      </c>
      <c r="H336" s="4" t="s">
        <v>72</v>
      </c>
      <c r="I336" s="4" t="s">
        <v>450</v>
      </c>
      <c r="J336" s="12"/>
    </row>
    <row r="337" spans="1:10" x14ac:dyDescent="0.2">
      <c r="A337" s="4" t="s">
        <v>583</v>
      </c>
      <c r="B337" s="1">
        <v>1.2</v>
      </c>
      <c r="C337" s="1" t="s">
        <v>13</v>
      </c>
      <c r="D337" s="1" t="str">
        <f>"54/79"</f>
        <v>54/79</v>
      </c>
      <c r="E337" s="1">
        <v>0.3</v>
      </c>
      <c r="F337" s="1" t="s">
        <v>584</v>
      </c>
      <c r="G337" s="1" t="s">
        <v>9</v>
      </c>
      <c r="H337" s="4" t="s">
        <v>404</v>
      </c>
      <c r="I337" s="4" t="s">
        <v>405</v>
      </c>
      <c r="J337" s="12"/>
    </row>
    <row r="338" spans="1:10" x14ac:dyDescent="0.2">
      <c r="A338" s="4" t="s">
        <v>643</v>
      </c>
      <c r="B338" s="1">
        <v>1.2</v>
      </c>
      <c r="C338" s="1" t="s">
        <v>13</v>
      </c>
      <c r="D338" s="1" t="str">
        <f>"24/32"</f>
        <v>24/32</v>
      </c>
      <c r="E338" s="1">
        <v>0.3</v>
      </c>
      <c r="F338" s="1" t="s">
        <v>644</v>
      </c>
      <c r="G338" s="1" t="s">
        <v>645</v>
      </c>
      <c r="H338" s="4" t="s">
        <v>28</v>
      </c>
      <c r="I338" s="4" t="s">
        <v>646</v>
      </c>
      <c r="J338" s="12"/>
    </row>
    <row r="339" spans="1:10" ht="28.5" x14ac:dyDescent="0.2">
      <c r="A339" s="4" t="s">
        <v>782</v>
      </c>
      <c r="B339" s="1">
        <v>1.2</v>
      </c>
      <c r="C339" s="1" t="s">
        <v>7</v>
      </c>
      <c r="D339" s="1" t="str">
        <f>"295/344"</f>
        <v>295/344</v>
      </c>
      <c r="E339" s="1">
        <v>0.9</v>
      </c>
      <c r="F339" s="1" t="s">
        <v>783</v>
      </c>
      <c r="G339" s="1" t="s">
        <v>784</v>
      </c>
      <c r="H339" s="4" t="s">
        <v>28</v>
      </c>
      <c r="I339" s="4" t="s">
        <v>785</v>
      </c>
      <c r="J339" s="12"/>
    </row>
    <row r="340" spans="1:10" x14ac:dyDescent="0.2">
      <c r="A340" s="4" t="s">
        <v>908</v>
      </c>
      <c r="B340" s="1">
        <v>1.2</v>
      </c>
      <c r="C340" s="1" t="s">
        <v>13</v>
      </c>
      <c r="D340" s="1" t="str">
        <f>"15/26"</f>
        <v>15/26</v>
      </c>
      <c r="E340" s="1">
        <v>0.3</v>
      </c>
      <c r="F340" s="1" t="s">
        <v>909</v>
      </c>
      <c r="G340" s="1" t="s">
        <v>910</v>
      </c>
      <c r="H340" s="4" t="s">
        <v>21</v>
      </c>
      <c r="I340" s="4" t="s">
        <v>94</v>
      </c>
      <c r="J340" s="12"/>
    </row>
    <row r="341" spans="1:10" x14ac:dyDescent="0.2">
      <c r="A341" s="4" t="s">
        <v>1206</v>
      </c>
      <c r="B341" s="1">
        <v>1.2</v>
      </c>
      <c r="C341" s="1" t="s">
        <v>13</v>
      </c>
      <c r="D341" s="1" t="str">
        <f>"54/79"</f>
        <v>54/79</v>
      </c>
      <c r="E341" s="1">
        <v>0.5</v>
      </c>
      <c r="F341" s="1" t="s">
        <v>1207</v>
      </c>
      <c r="G341" s="1" t="s">
        <v>1208</v>
      </c>
      <c r="H341" s="4" t="s">
        <v>21</v>
      </c>
      <c r="I341" s="4" t="s">
        <v>94</v>
      </c>
      <c r="J341" s="12"/>
    </row>
    <row r="342" spans="1:10" ht="42.75" x14ac:dyDescent="0.2">
      <c r="A342" s="4" t="s">
        <v>229</v>
      </c>
      <c r="B342" s="1">
        <v>1.1000000000000001</v>
      </c>
      <c r="C342" s="1" t="s">
        <v>13</v>
      </c>
      <c r="D342" s="1" t="str">
        <f>"59/79"</f>
        <v>59/79</v>
      </c>
      <c r="E342" s="1">
        <v>0.2</v>
      </c>
      <c r="F342" s="1" t="s">
        <v>230</v>
      </c>
      <c r="G342" s="1" t="s">
        <v>231</v>
      </c>
      <c r="H342" s="4" t="s">
        <v>184</v>
      </c>
      <c r="I342" s="4" t="s">
        <v>232</v>
      </c>
      <c r="J342" s="12"/>
    </row>
    <row r="343" spans="1:10" x14ac:dyDescent="0.2">
      <c r="A343" s="4" t="s">
        <v>249</v>
      </c>
      <c r="B343" s="1">
        <v>1.1000000000000001</v>
      </c>
      <c r="C343" s="1" t="s">
        <v>13</v>
      </c>
      <c r="D343" s="1" t="str">
        <f>"19/29"</f>
        <v>19/29</v>
      </c>
      <c r="E343" s="1">
        <v>0.2</v>
      </c>
      <c r="F343" s="1" t="s">
        <v>250</v>
      </c>
      <c r="G343" s="1" t="s">
        <v>251</v>
      </c>
      <c r="H343" s="4" t="s">
        <v>158</v>
      </c>
      <c r="I343" s="4" t="s">
        <v>252</v>
      </c>
      <c r="J343" s="12"/>
    </row>
    <row r="344" spans="1:10" x14ac:dyDescent="0.2">
      <c r="A344" s="4" t="s">
        <v>411</v>
      </c>
      <c r="B344" s="1">
        <v>1.1000000000000001</v>
      </c>
      <c r="C344" s="1" t="s">
        <v>13</v>
      </c>
      <c r="D344" s="1" t="str">
        <f>"59/79"</f>
        <v>59/79</v>
      </c>
      <c r="E344" s="1">
        <v>0.2</v>
      </c>
      <c r="F344" s="1" t="s">
        <v>412</v>
      </c>
      <c r="G344" s="1" t="s">
        <v>413</v>
      </c>
      <c r="H344" s="4" t="s">
        <v>33</v>
      </c>
      <c r="I344" s="4" t="s">
        <v>414</v>
      </c>
      <c r="J344" s="12"/>
    </row>
    <row r="345" spans="1:10" x14ac:dyDescent="0.2">
      <c r="A345" s="4" t="s">
        <v>444</v>
      </c>
      <c r="B345" s="1">
        <v>1.1000000000000001</v>
      </c>
      <c r="C345" s="1" t="s">
        <v>7</v>
      </c>
      <c r="D345" s="1" t="str">
        <f>"305/344"</f>
        <v>305/344</v>
      </c>
      <c r="E345" s="1">
        <v>0.5</v>
      </c>
      <c r="F345" s="1" t="s">
        <v>445</v>
      </c>
      <c r="G345" s="1" t="s">
        <v>446</v>
      </c>
      <c r="H345" s="4" t="s">
        <v>10</v>
      </c>
      <c r="I345" s="4" t="s">
        <v>116</v>
      </c>
      <c r="J345" s="12"/>
    </row>
    <row r="346" spans="1:10" x14ac:dyDescent="0.2">
      <c r="A346" s="4" t="s">
        <v>476</v>
      </c>
      <c r="B346" s="1">
        <v>1.1000000000000001</v>
      </c>
      <c r="C346" s="1" t="s">
        <v>7</v>
      </c>
      <c r="D346" s="1" t="str">
        <f>"305/344"</f>
        <v>305/344</v>
      </c>
      <c r="E346" s="1">
        <v>0.2</v>
      </c>
      <c r="F346" s="1" t="s">
        <v>477</v>
      </c>
      <c r="G346" s="1" t="s">
        <v>477</v>
      </c>
      <c r="H346" s="4" t="s">
        <v>201</v>
      </c>
      <c r="I346" s="4" t="s">
        <v>478</v>
      </c>
      <c r="J346" s="12"/>
    </row>
    <row r="347" spans="1:10" ht="28.5" x14ac:dyDescent="0.2">
      <c r="A347" s="4" t="s">
        <v>630</v>
      </c>
      <c r="B347" s="1">
        <v>1.1000000000000001</v>
      </c>
      <c r="C347" s="1" t="s">
        <v>13</v>
      </c>
      <c r="D347" s="1" t="str">
        <f>"19/29"</f>
        <v>19/29</v>
      </c>
      <c r="E347" s="1">
        <v>0.4</v>
      </c>
      <c r="F347" s="1" t="s">
        <v>631</v>
      </c>
      <c r="G347" s="1" t="s">
        <v>632</v>
      </c>
      <c r="H347" s="4" t="s">
        <v>72</v>
      </c>
      <c r="I347" s="4" t="s">
        <v>633</v>
      </c>
      <c r="J347" s="12"/>
    </row>
    <row r="348" spans="1:10" x14ac:dyDescent="0.2">
      <c r="A348" s="4" t="s">
        <v>754</v>
      </c>
      <c r="B348" s="1">
        <v>1.1000000000000001</v>
      </c>
      <c r="C348" s="1" t="s">
        <v>7</v>
      </c>
      <c r="D348" s="1" t="str">
        <f>"140/160"</f>
        <v>140/160</v>
      </c>
      <c r="E348" s="1">
        <v>0</v>
      </c>
      <c r="F348" s="1" t="s">
        <v>755</v>
      </c>
      <c r="G348" s="1" t="s">
        <v>755</v>
      </c>
      <c r="H348" s="4" t="s">
        <v>72</v>
      </c>
      <c r="I348" s="4" t="s">
        <v>756</v>
      </c>
      <c r="J348" s="12"/>
    </row>
    <row r="349" spans="1:10" x14ac:dyDescent="0.2">
      <c r="A349" s="4" t="s">
        <v>953</v>
      </c>
      <c r="B349" s="1">
        <v>1.1000000000000001</v>
      </c>
      <c r="C349" s="1" t="s">
        <v>7</v>
      </c>
      <c r="D349" s="1" t="str">
        <f>"25/32"</f>
        <v>25/32</v>
      </c>
      <c r="E349" s="1">
        <v>0.1</v>
      </c>
      <c r="F349" s="1" t="s">
        <v>954</v>
      </c>
      <c r="G349" s="1" t="s">
        <v>955</v>
      </c>
      <c r="H349" s="4" t="s">
        <v>28</v>
      </c>
      <c r="I349" s="4" t="s">
        <v>956</v>
      </c>
      <c r="J349" s="12"/>
    </row>
    <row r="350" spans="1:10" x14ac:dyDescent="0.2">
      <c r="A350" s="4" t="s">
        <v>1032</v>
      </c>
      <c r="B350" s="1">
        <v>1.1000000000000001</v>
      </c>
      <c r="C350" s="1" t="s">
        <v>13</v>
      </c>
      <c r="D350" s="1" t="str">
        <f>"15/21"</f>
        <v>15/21</v>
      </c>
      <c r="E350" s="1">
        <v>0.2</v>
      </c>
      <c r="F350" s="1" t="s">
        <v>1033</v>
      </c>
      <c r="G350" s="1" t="s">
        <v>1034</v>
      </c>
      <c r="H350" s="4" t="s">
        <v>1035</v>
      </c>
      <c r="I350" s="4" t="s">
        <v>1036</v>
      </c>
      <c r="J350" s="12"/>
    </row>
    <row r="351" spans="1:10" x14ac:dyDescent="0.2">
      <c r="A351" s="4" t="s">
        <v>1189</v>
      </c>
      <c r="B351" s="1">
        <v>1.1000000000000001</v>
      </c>
      <c r="C351" s="1" t="s">
        <v>13</v>
      </c>
      <c r="D351" s="1" t="str">
        <f>"16/26"</f>
        <v>16/26</v>
      </c>
      <c r="E351" s="1">
        <v>0.6</v>
      </c>
      <c r="F351" s="1" t="s">
        <v>1190</v>
      </c>
      <c r="G351" s="1" t="s">
        <v>1191</v>
      </c>
      <c r="H351" s="4" t="s">
        <v>201</v>
      </c>
      <c r="I351" s="4" t="s">
        <v>259</v>
      </c>
      <c r="J351" s="12"/>
    </row>
    <row r="352" spans="1:10" x14ac:dyDescent="0.2">
      <c r="A352" s="4" t="s">
        <v>260</v>
      </c>
      <c r="B352" s="1">
        <v>1</v>
      </c>
      <c r="C352" s="1" t="s">
        <v>13</v>
      </c>
      <c r="D352" s="1" t="str">
        <f>"21/29"</f>
        <v>21/29</v>
      </c>
      <c r="E352" s="1">
        <v>0.2</v>
      </c>
      <c r="F352" s="1" t="s">
        <v>261</v>
      </c>
      <c r="G352" s="1" t="s">
        <v>262</v>
      </c>
      <c r="H352" s="4" t="s">
        <v>107</v>
      </c>
      <c r="I352" s="4" t="s">
        <v>108</v>
      </c>
      <c r="J352" s="12"/>
    </row>
    <row r="353" spans="1:10" x14ac:dyDescent="0.2">
      <c r="A353" s="4" t="s">
        <v>479</v>
      </c>
      <c r="B353" s="1">
        <v>1</v>
      </c>
      <c r="C353" s="1" t="s">
        <v>7</v>
      </c>
      <c r="D353" s="1" t="str">
        <f>"309/344"</f>
        <v>309/344</v>
      </c>
      <c r="E353" s="1">
        <v>0.2</v>
      </c>
      <c r="F353" s="1" t="s">
        <v>480</v>
      </c>
      <c r="G353" s="1" t="s">
        <v>481</v>
      </c>
      <c r="H353" s="4" t="s">
        <v>482</v>
      </c>
      <c r="I353" s="4" t="s">
        <v>483</v>
      </c>
      <c r="J353" s="12"/>
    </row>
    <row r="354" spans="1:10" x14ac:dyDescent="0.2">
      <c r="A354" s="4" t="s">
        <v>683</v>
      </c>
      <c r="B354" s="1">
        <v>1</v>
      </c>
      <c r="C354" s="1" t="s">
        <v>7</v>
      </c>
      <c r="D354" s="1" t="str">
        <f>"141/160"</f>
        <v>141/160</v>
      </c>
      <c r="E354" s="1">
        <v>0.4</v>
      </c>
      <c r="F354" s="1" t="s">
        <v>684</v>
      </c>
      <c r="G354" s="1" t="s">
        <v>685</v>
      </c>
      <c r="H354" s="4" t="s">
        <v>191</v>
      </c>
      <c r="I354" s="4" t="s">
        <v>686</v>
      </c>
      <c r="J354" s="12"/>
    </row>
    <row r="355" spans="1:10" x14ac:dyDescent="0.2">
      <c r="A355" s="4" t="s">
        <v>708</v>
      </c>
      <c r="B355" s="1">
        <v>1</v>
      </c>
      <c r="C355" s="1" t="s">
        <v>7</v>
      </c>
      <c r="D355" s="1" t="str">
        <f>"61/79"</f>
        <v>61/79</v>
      </c>
      <c r="E355" s="1">
        <v>0.3</v>
      </c>
      <c r="F355" s="1" t="s">
        <v>709</v>
      </c>
      <c r="G355" s="1" t="s">
        <v>710</v>
      </c>
      <c r="H355" s="4" t="s">
        <v>158</v>
      </c>
      <c r="I355" s="4" t="s">
        <v>711</v>
      </c>
      <c r="J355" s="12"/>
    </row>
    <row r="356" spans="1:10" x14ac:dyDescent="0.2">
      <c r="A356" s="4" t="s">
        <v>160</v>
      </c>
      <c r="B356" s="1">
        <v>0.9</v>
      </c>
      <c r="C356" s="1" t="s">
        <v>7</v>
      </c>
      <c r="D356" s="1" t="str">
        <f>"312/344"</f>
        <v>312/344</v>
      </c>
      <c r="E356" s="1">
        <v>0.1</v>
      </c>
      <c r="F356" s="1" t="s">
        <v>161</v>
      </c>
      <c r="G356" s="1" t="s">
        <v>162</v>
      </c>
      <c r="H356" s="4" t="s">
        <v>28</v>
      </c>
      <c r="I356" s="4" t="s">
        <v>163</v>
      </c>
      <c r="J356" s="12"/>
    </row>
    <row r="357" spans="1:10" x14ac:dyDescent="0.2">
      <c r="A357" s="4" t="s">
        <v>181</v>
      </c>
      <c r="B357" s="1">
        <v>0.9</v>
      </c>
      <c r="C357" s="1" t="s">
        <v>7</v>
      </c>
      <c r="D357" s="1" t="str">
        <f>"28/32"</f>
        <v>28/32</v>
      </c>
      <c r="E357" s="1">
        <v>0.1</v>
      </c>
      <c r="F357" s="1" t="s">
        <v>182</v>
      </c>
      <c r="G357" s="1" t="s">
        <v>183</v>
      </c>
      <c r="H357" s="4" t="s">
        <v>184</v>
      </c>
      <c r="I357" s="4" t="s">
        <v>185</v>
      </c>
      <c r="J357" s="12"/>
    </row>
    <row r="358" spans="1:10" x14ac:dyDescent="0.2">
      <c r="A358" s="4" t="s">
        <v>408</v>
      </c>
      <c r="B358" s="1">
        <v>0.9</v>
      </c>
      <c r="C358" s="1" t="s">
        <v>7</v>
      </c>
      <c r="D358" s="1" t="str">
        <f>"63/79"</f>
        <v>63/79</v>
      </c>
      <c r="E358" s="1">
        <v>0.2</v>
      </c>
      <c r="F358" s="1" t="s">
        <v>409</v>
      </c>
      <c r="G358" s="1" t="s">
        <v>410</v>
      </c>
      <c r="H358" s="4" t="s">
        <v>184</v>
      </c>
      <c r="I358" s="4" t="s">
        <v>108</v>
      </c>
      <c r="J358" s="12"/>
    </row>
    <row r="359" spans="1:10" x14ac:dyDescent="0.2">
      <c r="A359" s="4" t="s">
        <v>499</v>
      </c>
      <c r="B359" s="1">
        <v>0.9</v>
      </c>
      <c r="C359" s="1" t="s">
        <v>7</v>
      </c>
      <c r="D359" s="1" t="str">
        <f>"312/344"</f>
        <v>312/344</v>
      </c>
      <c r="E359" s="1">
        <v>0.2</v>
      </c>
      <c r="F359" s="1" t="s">
        <v>500</v>
      </c>
      <c r="G359" s="1" t="s">
        <v>501</v>
      </c>
      <c r="H359" s="4" t="s">
        <v>107</v>
      </c>
      <c r="I359" s="4" t="s">
        <v>108</v>
      </c>
      <c r="J359" s="12"/>
    </row>
    <row r="360" spans="1:10" x14ac:dyDescent="0.2">
      <c r="A360" s="4" t="s">
        <v>637</v>
      </c>
      <c r="B360" s="1">
        <v>0.9</v>
      </c>
      <c r="C360" s="1" t="s">
        <v>13</v>
      </c>
      <c r="D360" s="1" t="str">
        <f>"17/26"</f>
        <v>17/26</v>
      </c>
      <c r="E360" s="1">
        <v>0.1</v>
      </c>
      <c r="F360" s="1" t="s">
        <v>638</v>
      </c>
      <c r="G360" s="1" t="s">
        <v>9</v>
      </c>
      <c r="H360" s="4" t="s">
        <v>28</v>
      </c>
      <c r="I360" s="4" t="s">
        <v>639</v>
      </c>
      <c r="J360" s="12"/>
    </row>
    <row r="361" spans="1:10" x14ac:dyDescent="0.2">
      <c r="A361" s="4" t="s">
        <v>653</v>
      </c>
      <c r="B361" s="1">
        <v>0.9</v>
      </c>
      <c r="C361" s="1" t="s">
        <v>7</v>
      </c>
      <c r="D361" s="1" t="str">
        <f>"312/344"</f>
        <v>312/344</v>
      </c>
      <c r="E361" s="1">
        <v>0.3</v>
      </c>
      <c r="F361" s="1" t="s">
        <v>654</v>
      </c>
      <c r="G361" s="1" t="s">
        <v>655</v>
      </c>
      <c r="H361" s="4" t="s">
        <v>28</v>
      </c>
      <c r="I361" s="4" t="s">
        <v>185</v>
      </c>
      <c r="J361" s="12"/>
    </row>
    <row r="362" spans="1:10" ht="28.5" x14ac:dyDescent="0.2">
      <c r="A362" s="4" t="s">
        <v>694</v>
      </c>
      <c r="B362" s="1">
        <v>0.9</v>
      </c>
      <c r="C362" s="1" t="s">
        <v>7</v>
      </c>
      <c r="D362" s="1" t="str">
        <f>"312/344"</f>
        <v>312/344</v>
      </c>
      <c r="E362" s="1">
        <v>0.1</v>
      </c>
      <c r="F362" s="1" t="s">
        <v>695</v>
      </c>
      <c r="G362" s="1" t="s">
        <v>696</v>
      </c>
      <c r="H362" s="4" t="s">
        <v>227</v>
      </c>
      <c r="I362" s="4" t="s">
        <v>697</v>
      </c>
      <c r="J362" s="12"/>
    </row>
    <row r="363" spans="1:10" x14ac:dyDescent="0.2">
      <c r="A363" s="4" t="s">
        <v>947</v>
      </c>
      <c r="B363" s="1">
        <v>0.9</v>
      </c>
      <c r="C363" s="1" t="s">
        <v>13</v>
      </c>
      <c r="D363" s="1" t="str">
        <f>"197/267"</f>
        <v>197/267</v>
      </c>
      <c r="E363" s="1">
        <v>0.1</v>
      </c>
      <c r="F363" s="1" t="s">
        <v>948</v>
      </c>
      <c r="G363" s="1" t="s">
        <v>9</v>
      </c>
      <c r="H363" s="4" t="s">
        <v>553</v>
      </c>
      <c r="I363" s="4" t="s">
        <v>949</v>
      </c>
      <c r="J363" s="12"/>
    </row>
    <row r="364" spans="1:10" ht="28.5" x14ac:dyDescent="0.2">
      <c r="A364" s="4" t="s">
        <v>1000</v>
      </c>
      <c r="B364" s="1">
        <v>0.9</v>
      </c>
      <c r="C364" s="1" t="s">
        <v>13</v>
      </c>
      <c r="D364" s="1" t="str">
        <f>"17/26"</f>
        <v>17/26</v>
      </c>
      <c r="E364" s="1">
        <v>0</v>
      </c>
      <c r="F364" s="1" t="s">
        <v>1001</v>
      </c>
      <c r="G364" s="1" t="s">
        <v>1002</v>
      </c>
      <c r="H364" s="4" t="s">
        <v>201</v>
      </c>
      <c r="I364" s="4" t="s">
        <v>1003</v>
      </c>
      <c r="J364" s="12"/>
    </row>
    <row r="365" spans="1:10" x14ac:dyDescent="0.2">
      <c r="A365" s="4" t="s">
        <v>1040</v>
      </c>
      <c r="B365" s="1">
        <v>0.9</v>
      </c>
      <c r="C365" s="1" t="s">
        <v>7</v>
      </c>
      <c r="D365" s="1" t="str">
        <f>"312/344"</f>
        <v>312/344</v>
      </c>
      <c r="E365" s="1">
        <v>0.3</v>
      </c>
      <c r="F365" s="1" t="s">
        <v>1041</v>
      </c>
      <c r="G365" s="1" t="s">
        <v>1041</v>
      </c>
      <c r="H365" s="4" t="s">
        <v>191</v>
      </c>
      <c r="I365" s="4" t="s">
        <v>686</v>
      </c>
      <c r="J365" s="12"/>
    </row>
    <row r="366" spans="1:10" ht="28.5" x14ac:dyDescent="0.2">
      <c r="A366" s="4" t="s">
        <v>1106</v>
      </c>
      <c r="B366" s="1">
        <v>0.9</v>
      </c>
      <c r="C366" s="1" t="s">
        <v>7</v>
      </c>
      <c r="D366" s="1" t="str">
        <f>"22/29"</f>
        <v>22/29</v>
      </c>
      <c r="E366" s="1">
        <v>0.2</v>
      </c>
      <c r="F366" s="1" t="s">
        <v>1107</v>
      </c>
      <c r="G366" s="1" t="s">
        <v>1108</v>
      </c>
      <c r="H366" s="4" t="s">
        <v>1109</v>
      </c>
      <c r="I366" s="4" t="s">
        <v>1110</v>
      </c>
      <c r="J366" s="12"/>
    </row>
    <row r="367" spans="1:10" x14ac:dyDescent="0.2">
      <c r="A367" s="4" t="s">
        <v>1142</v>
      </c>
      <c r="B367" s="1">
        <v>0.9</v>
      </c>
      <c r="C367" s="1" t="s">
        <v>7</v>
      </c>
      <c r="D367" s="1" t="str">
        <f>"63/79"</f>
        <v>63/79</v>
      </c>
      <c r="E367" s="1">
        <v>0.3</v>
      </c>
      <c r="F367" s="1" t="s">
        <v>1143</v>
      </c>
      <c r="G367" s="1" t="s">
        <v>1144</v>
      </c>
      <c r="H367" s="4" t="s">
        <v>227</v>
      </c>
      <c r="I367" s="4" t="s">
        <v>22</v>
      </c>
      <c r="J367" s="12"/>
    </row>
    <row r="368" spans="1:10" x14ac:dyDescent="0.2">
      <c r="A368" s="4" t="s">
        <v>186</v>
      </c>
      <c r="B368" s="1">
        <v>0.8</v>
      </c>
      <c r="C368" s="1" t="s">
        <v>7</v>
      </c>
      <c r="D368" s="1" t="str">
        <f>"66/79"</f>
        <v>66/79</v>
      </c>
      <c r="E368" s="1">
        <v>0.1</v>
      </c>
      <c r="F368" s="1" t="s">
        <v>187</v>
      </c>
      <c r="G368" s="1" t="s">
        <v>188</v>
      </c>
      <c r="H368" s="4" t="s">
        <v>184</v>
      </c>
      <c r="I368" s="4" t="s">
        <v>185</v>
      </c>
      <c r="J368" s="12"/>
    </row>
    <row r="369" spans="1:10" ht="42.75" x14ac:dyDescent="0.2">
      <c r="A369" s="4" t="s">
        <v>193</v>
      </c>
      <c r="B369" s="1">
        <v>0.8</v>
      </c>
      <c r="C369" s="1" t="s">
        <v>7</v>
      </c>
      <c r="D369" s="1" t="str">
        <f>"66/79"</f>
        <v>66/79</v>
      </c>
      <c r="E369" s="1">
        <v>0.2</v>
      </c>
      <c r="F369" s="1" t="s">
        <v>194</v>
      </c>
      <c r="G369" s="1" t="s">
        <v>195</v>
      </c>
      <c r="H369" s="4" t="s">
        <v>196</v>
      </c>
      <c r="I369" s="4" t="s">
        <v>197</v>
      </c>
      <c r="J369" s="12"/>
    </row>
    <row r="370" spans="1:10" x14ac:dyDescent="0.2">
      <c r="A370" s="4" t="s">
        <v>558</v>
      </c>
      <c r="B370" s="1">
        <v>0.8</v>
      </c>
      <c r="C370" s="1" t="s">
        <v>7</v>
      </c>
      <c r="D370" s="1" t="str">
        <f>"321/344"</f>
        <v>321/344</v>
      </c>
      <c r="E370" s="1">
        <v>0.1</v>
      </c>
      <c r="F370" s="1" t="s">
        <v>559</v>
      </c>
      <c r="G370" s="1" t="s">
        <v>560</v>
      </c>
      <c r="H370" s="4" t="s">
        <v>191</v>
      </c>
      <c r="I370" s="4" t="s">
        <v>561</v>
      </c>
      <c r="J370" s="12"/>
    </row>
    <row r="371" spans="1:10" x14ac:dyDescent="0.2">
      <c r="A371" s="4" t="s">
        <v>895</v>
      </c>
      <c r="B371" s="1">
        <v>0.8</v>
      </c>
      <c r="C371" s="1" t="s">
        <v>7</v>
      </c>
      <c r="D371" s="1" t="str">
        <f>"66/79"</f>
        <v>66/79</v>
      </c>
      <c r="E371" s="1">
        <v>0.1</v>
      </c>
      <c r="F371" s="1" t="s">
        <v>896</v>
      </c>
      <c r="G371" s="1" t="s">
        <v>897</v>
      </c>
      <c r="H371" s="4" t="s">
        <v>10</v>
      </c>
      <c r="I371" s="4" t="s">
        <v>259</v>
      </c>
      <c r="J371" s="12"/>
    </row>
    <row r="372" spans="1:10" ht="42.75" x14ac:dyDescent="0.2">
      <c r="A372" s="4" t="s">
        <v>935</v>
      </c>
      <c r="B372" s="1">
        <v>0.8</v>
      </c>
      <c r="C372" s="1" t="s">
        <v>7</v>
      </c>
      <c r="D372" s="1" t="str">
        <f>"321/344"</f>
        <v>321/344</v>
      </c>
      <c r="E372" s="1">
        <v>0.2</v>
      </c>
      <c r="F372" s="1" t="s">
        <v>936</v>
      </c>
      <c r="G372" s="1" t="s">
        <v>937</v>
      </c>
      <c r="H372" s="4" t="s">
        <v>184</v>
      </c>
      <c r="I372" s="4" t="s">
        <v>232</v>
      </c>
      <c r="J372" s="12"/>
    </row>
    <row r="373" spans="1:10" x14ac:dyDescent="0.2">
      <c r="A373" s="4" t="s">
        <v>1037</v>
      </c>
      <c r="B373" s="1">
        <v>0.8</v>
      </c>
      <c r="C373" s="1" t="s">
        <v>7</v>
      </c>
      <c r="D373" s="1" t="str">
        <f>"17/21"</f>
        <v>17/21</v>
      </c>
      <c r="E373" s="1">
        <v>0.3</v>
      </c>
      <c r="F373" s="1" t="s">
        <v>1038</v>
      </c>
      <c r="G373" s="1" t="s">
        <v>1038</v>
      </c>
      <c r="H373" s="4" t="s">
        <v>201</v>
      </c>
      <c r="I373" s="4" t="s">
        <v>1039</v>
      </c>
      <c r="J373" s="12"/>
    </row>
    <row r="374" spans="1:10" x14ac:dyDescent="0.2">
      <c r="A374" s="4" t="s">
        <v>104</v>
      </c>
      <c r="B374" s="1">
        <v>0.7</v>
      </c>
      <c r="C374" s="1" t="s">
        <v>7</v>
      </c>
      <c r="D374" s="1" t="str">
        <f>"30/32"</f>
        <v>30/32</v>
      </c>
      <c r="E374" s="1">
        <v>0.2</v>
      </c>
      <c r="F374" s="1" t="s">
        <v>105</v>
      </c>
      <c r="G374" s="1" t="s">
        <v>106</v>
      </c>
      <c r="H374" s="4" t="s">
        <v>107</v>
      </c>
      <c r="I374" s="4" t="s">
        <v>108</v>
      </c>
      <c r="J374" s="12"/>
    </row>
    <row r="375" spans="1:10" ht="28.5" x14ac:dyDescent="0.2">
      <c r="A375" s="4" t="s">
        <v>189</v>
      </c>
      <c r="B375" s="1">
        <v>0.7</v>
      </c>
      <c r="C375" s="1" t="s">
        <v>7</v>
      </c>
      <c r="D375" s="1" t="str">
        <f>"62/68"</f>
        <v>62/68</v>
      </c>
      <c r="E375" s="1">
        <v>0.1</v>
      </c>
      <c r="F375" s="1" t="s">
        <v>190</v>
      </c>
      <c r="G375" s="1" t="s">
        <v>9</v>
      </c>
      <c r="H375" s="4" t="s">
        <v>191</v>
      </c>
      <c r="I375" s="4" t="s">
        <v>192</v>
      </c>
      <c r="J375" s="12"/>
    </row>
    <row r="376" spans="1:10" ht="28.5" x14ac:dyDescent="0.2">
      <c r="A376" s="4" t="s">
        <v>221</v>
      </c>
      <c r="B376" s="1">
        <v>0.7</v>
      </c>
      <c r="C376" s="1" t="s">
        <v>7</v>
      </c>
      <c r="D376" s="1" t="str">
        <f>"69/79"</f>
        <v>69/79</v>
      </c>
      <c r="E376" s="1">
        <v>0.1</v>
      </c>
      <c r="F376" s="1" t="s">
        <v>222</v>
      </c>
      <c r="G376" s="1" t="s">
        <v>222</v>
      </c>
      <c r="H376" s="4" t="s">
        <v>59</v>
      </c>
      <c r="I376" s="4" t="s">
        <v>223</v>
      </c>
      <c r="J376" s="12"/>
    </row>
    <row r="377" spans="1:10" x14ac:dyDescent="0.2">
      <c r="A377" s="4" t="s">
        <v>519</v>
      </c>
      <c r="B377" s="1">
        <v>0.7</v>
      </c>
      <c r="C377" s="1" t="s">
        <v>7</v>
      </c>
      <c r="D377" s="1" t="str">
        <f>"325/344"</f>
        <v>325/344</v>
      </c>
      <c r="E377" s="1">
        <v>0.1</v>
      </c>
      <c r="F377" s="1" t="s">
        <v>520</v>
      </c>
      <c r="G377" s="1" t="s">
        <v>521</v>
      </c>
      <c r="H377" s="4" t="s">
        <v>28</v>
      </c>
      <c r="I377" s="4" t="s">
        <v>163</v>
      </c>
      <c r="J377" s="12"/>
    </row>
    <row r="378" spans="1:10" x14ac:dyDescent="0.2">
      <c r="A378" s="4" t="s">
        <v>579</v>
      </c>
      <c r="B378" s="1">
        <v>0.7</v>
      </c>
      <c r="C378" s="1" t="s">
        <v>7</v>
      </c>
      <c r="D378" s="1" t="str">
        <f>"69/79"</f>
        <v>69/79</v>
      </c>
      <c r="E378" s="1">
        <v>0.1</v>
      </c>
      <c r="F378" s="1" t="s">
        <v>580</v>
      </c>
      <c r="G378" s="1" t="s">
        <v>581</v>
      </c>
      <c r="H378" s="4" t="s">
        <v>15</v>
      </c>
      <c r="I378" s="4" t="s">
        <v>582</v>
      </c>
      <c r="J378" s="12"/>
    </row>
    <row r="379" spans="1:10" x14ac:dyDescent="0.2">
      <c r="A379" s="4" t="s">
        <v>774</v>
      </c>
      <c r="B379" s="1">
        <v>0.7</v>
      </c>
      <c r="C379" s="1" t="s">
        <v>7</v>
      </c>
      <c r="D379" s="1" t="str">
        <f>"325/344"</f>
        <v>325/344</v>
      </c>
      <c r="E379" s="1">
        <v>0.1</v>
      </c>
      <c r="F379" s="1" t="s">
        <v>775</v>
      </c>
      <c r="G379" s="1" t="s">
        <v>776</v>
      </c>
      <c r="H379" s="4" t="s">
        <v>28</v>
      </c>
      <c r="I379" s="4" t="s">
        <v>185</v>
      </c>
      <c r="J379" s="12"/>
    </row>
    <row r="380" spans="1:10" x14ac:dyDescent="0.2">
      <c r="A380" s="4" t="s">
        <v>975</v>
      </c>
      <c r="B380" s="1">
        <v>0.7</v>
      </c>
      <c r="C380" s="1" t="s">
        <v>7</v>
      </c>
      <c r="D380" s="1" t="str">
        <f>"23/29"</f>
        <v>23/29</v>
      </c>
      <c r="E380" s="1">
        <v>0.1</v>
      </c>
      <c r="F380" s="1" t="s">
        <v>976</v>
      </c>
      <c r="G380" s="1" t="s">
        <v>977</v>
      </c>
      <c r="H380" s="4" t="s">
        <v>184</v>
      </c>
      <c r="I380" s="4" t="s">
        <v>185</v>
      </c>
      <c r="J380" s="12"/>
    </row>
    <row r="381" spans="1:10" ht="28.5" x14ac:dyDescent="0.2">
      <c r="A381" s="4" t="s">
        <v>1114</v>
      </c>
      <c r="B381" s="1">
        <v>0.7</v>
      </c>
      <c r="C381" s="1" t="s">
        <v>7</v>
      </c>
      <c r="D381" s="1" t="str">
        <f>"62/68"</f>
        <v>62/68</v>
      </c>
      <c r="E381" s="1">
        <v>0</v>
      </c>
      <c r="F381" s="1" t="s">
        <v>1115</v>
      </c>
      <c r="G381" s="1" t="s">
        <v>9</v>
      </c>
      <c r="H381" s="4" t="s">
        <v>201</v>
      </c>
      <c r="I381" s="4" t="s">
        <v>1116</v>
      </c>
      <c r="J381" s="12"/>
    </row>
    <row r="382" spans="1:10" x14ac:dyDescent="0.2">
      <c r="A382" s="4" t="s">
        <v>1311</v>
      </c>
      <c r="B382" s="1">
        <v>0.7</v>
      </c>
      <c r="C382" s="1" t="s">
        <v>13</v>
      </c>
      <c r="D382" s="1" t="str">
        <f>"19/26"</f>
        <v>19/26</v>
      </c>
      <c r="E382" s="1">
        <v>0.1</v>
      </c>
      <c r="F382" s="1" t="s">
        <v>1312</v>
      </c>
      <c r="G382" s="1" t="s">
        <v>1312</v>
      </c>
      <c r="H382" s="4" t="s">
        <v>28</v>
      </c>
      <c r="I382" s="4" t="s">
        <v>771</v>
      </c>
      <c r="J382" s="12"/>
    </row>
    <row r="383" spans="1:10" x14ac:dyDescent="0.2">
      <c r="A383" s="4" t="s">
        <v>74</v>
      </c>
      <c r="B383" s="1">
        <v>0.6</v>
      </c>
      <c r="C383" s="1" t="s">
        <v>7</v>
      </c>
      <c r="D383" s="1" t="str">
        <f>"20/26"</f>
        <v>20/26</v>
      </c>
      <c r="E383" s="1">
        <v>0.1</v>
      </c>
      <c r="F383" s="1" t="s">
        <v>75</v>
      </c>
      <c r="G383" s="1" t="s">
        <v>75</v>
      </c>
      <c r="H383" s="4" t="s">
        <v>76</v>
      </c>
      <c r="I383" s="4" t="s">
        <v>77</v>
      </c>
      <c r="J383" s="12"/>
    </row>
    <row r="384" spans="1:10" x14ac:dyDescent="0.2">
      <c r="A384" s="4" t="s">
        <v>78</v>
      </c>
      <c r="B384" s="1">
        <v>0.6</v>
      </c>
      <c r="C384" s="1" t="s">
        <v>7</v>
      </c>
      <c r="D384" s="1" t="str">
        <f>"18/21"</f>
        <v>18/21</v>
      </c>
      <c r="E384" s="1">
        <v>0.1</v>
      </c>
      <c r="F384" s="1" t="s">
        <v>79</v>
      </c>
      <c r="G384" s="1" t="s">
        <v>9</v>
      </c>
      <c r="H384" s="4" t="s">
        <v>28</v>
      </c>
      <c r="I384" s="4" t="s">
        <v>80</v>
      </c>
      <c r="J384" s="12"/>
    </row>
    <row r="385" spans="1:10" x14ac:dyDescent="0.2">
      <c r="A385" s="4" t="s">
        <v>117</v>
      </c>
      <c r="B385" s="1">
        <v>0.6</v>
      </c>
      <c r="C385" s="1" t="s">
        <v>7</v>
      </c>
      <c r="D385" s="1" t="str">
        <f>"71/79"</f>
        <v>71/79</v>
      </c>
      <c r="E385" s="1">
        <v>0</v>
      </c>
      <c r="F385" s="1" t="s">
        <v>118</v>
      </c>
      <c r="G385" s="1" t="s">
        <v>119</v>
      </c>
      <c r="H385" s="4" t="s">
        <v>120</v>
      </c>
      <c r="I385" s="4" t="s">
        <v>121</v>
      </c>
      <c r="J385" s="12"/>
    </row>
    <row r="386" spans="1:10" x14ac:dyDescent="0.2">
      <c r="A386" s="4" t="s">
        <v>256</v>
      </c>
      <c r="B386" s="1">
        <v>0.6</v>
      </c>
      <c r="C386" s="1" t="s">
        <v>7</v>
      </c>
      <c r="D386" s="1" t="str">
        <f>"71/79"</f>
        <v>71/79</v>
      </c>
      <c r="E386" s="1">
        <v>0.1</v>
      </c>
      <c r="F386" s="1" t="s">
        <v>257</v>
      </c>
      <c r="G386" s="1" t="s">
        <v>258</v>
      </c>
      <c r="H386" s="4" t="s">
        <v>10</v>
      </c>
      <c r="I386" s="4" t="s">
        <v>259</v>
      </c>
      <c r="J386" s="12"/>
    </row>
    <row r="387" spans="1:10" ht="28.5" x14ac:dyDescent="0.2">
      <c r="A387" s="4" t="s">
        <v>285</v>
      </c>
      <c r="B387" s="1">
        <v>0.6</v>
      </c>
      <c r="C387" s="1" t="s">
        <v>7</v>
      </c>
      <c r="D387" s="1" t="str">
        <f>"24/29"</f>
        <v>24/29</v>
      </c>
      <c r="E387" s="1">
        <v>0.1</v>
      </c>
      <c r="F387" s="1" t="s">
        <v>286</v>
      </c>
      <c r="G387" s="1" t="s">
        <v>9</v>
      </c>
      <c r="H387" s="4" t="s">
        <v>21</v>
      </c>
      <c r="I387" s="4" t="s">
        <v>287</v>
      </c>
      <c r="J387" s="12"/>
    </row>
    <row r="388" spans="1:10" x14ac:dyDescent="0.2">
      <c r="A388" s="4" t="s">
        <v>425</v>
      </c>
      <c r="B388" s="1">
        <v>0.6</v>
      </c>
      <c r="C388" s="1" t="s">
        <v>7</v>
      </c>
      <c r="D388" s="1" t="str">
        <f>"71/79"</f>
        <v>71/79</v>
      </c>
      <c r="E388" s="1">
        <v>0.1</v>
      </c>
      <c r="F388" s="1" t="s">
        <v>426</v>
      </c>
      <c r="G388" s="1" t="s">
        <v>427</v>
      </c>
      <c r="H388" s="4" t="s">
        <v>184</v>
      </c>
      <c r="I388" s="4" t="s">
        <v>108</v>
      </c>
      <c r="J388" s="12"/>
    </row>
    <row r="389" spans="1:10" x14ac:dyDescent="0.2">
      <c r="A389" s="4" t="s">
        <v>522</v>
      </c>
      <c r="B389" s="1">
        <v>0.6</v>
      </c>
      <c r="C389" s="1" t="s">
        <v>7</v>
      </c>
      <c r="D389" s="1" t="str">
        <f>"31/32"</f>
        <v>31/32</v>
      </c>
      <c r="E389" s="1">
        <v>0.1</v>
      </c>
      <c r="F389" s="1" t="s">
        <v>523</v>
      </c>
      <c r="G389" s="1" t="s">
        <v>523</v>
      </c>
      <c r="H389" s="4" t="s">
        <v>28</v>
      </c>
      <c r="I389" s="4" t="s">
        <v>524</v>
      </c>
      <c r="J389" s="12"/>
    </row>
    <row r="390" spans="1:10" x14ac:dyDescent="0.2">
      <c r="A390" s="4" t="s">
        <v>780</v>
      </c>
      <c r="B390" s="1">
        <v>0.6</v>
      </c>
      <c r="C390" s="1" t="s">
        <v>7</v>
      </c>
      <c r="D390" s="1" t="str">
        <f>"20/26"</f>
        <v>20/26</v>
      </c>
      <c r="E390" s="1">
        <v>0.3</v>
      </c>
      <c r="F390" s="1" t="s">
        <v>781</v>
      </c>
      <c r="G390" s="1" t="s">
        <v>781</v>
      </c>
      <c r="H390" s="4" t="s">
        <v>72</v>
      </c>
      <c r="I390" s="4" t="s">
        <v>152</v>
      </c>
      <c r="J390" s="12"/>
    </row>
    <row r="391" spans="1:10" ht="28.5" x14ac:dyDescent="0.2">
      <c r="A391" s="4" t="s">
        <v>943</v>
      </c>
      <c r="B391" s="1">
        <v>0.6</v>
      </c>
      <c r="C391" s="1" t="s">
        <v>7</v>
      </c>
      <c r="D391" s="1" t="str">
        <f>"20/26"</f>
        <v>20/26</v>
      </c>
      <c r="E391" s="1">
        <v>0.1</v>
      </c>
      <c r="F391" s="1" t="s">
        <v>944</v>
      </c>
      <c r="G391" s="1" t="s">
        <v>945</v>
      </c>
      <c r="H391" s="4" t="s">
        <v>51</v>
      </c>
      <c r="I391" s="4" t="s">
        <v>946</v>
      </c>
      <c r="J391" s="12"/>
    </row>
    <row r="392" spans="1:10" x14ac:dyDescent="0.2">
      <c r="A392" s="4" t="s">
        <v>978</v>
      </c>
      <c r="B392" s="1">
        <v>0.6</v>
      </c>
      <c r="C392" s="1" t="s">
        <v>7</v>
      </c>
      <c r="D392" s="1" t="str">
        <f>"24/29"</f>
        <v>24/29</v>
      </c>
      <c r="E392" s="1">
        <v>0.2</v>
      </c>
      <c r="F392" s="1" t="s">
        <v>979</v>
      </c>
      <c r="G392" s="1" t="s">
        <v>980</v>
      </c>
      <c r="H392" s="4" t="s">
        <v>184</v>
      </c>
      <c r="I392" s="4" t="s">
        <v>108</v>
      </c>
      <c r="J392" s="12"/>
    </row>
    <row r="393" spans="1:10" ht="42.75" x14ac:dyDescent="0.2">
      <c r="A393" s="4" t="s">
        <v>1192</v>
      </c>
      <c r="B393" s="1">
        <v>0.6</v>
      </c>
      <c r="C393" s="1" t="s">
        <v>7</v>
      </c>
      <c r="D393" s="1" t="str">
        <f>"71/79"</f>
        <v>71/79</v>
      </c>
      <c r="E393" s="1">
        <v>0.2</v>
      </c>
      <c r="F393" s="1" t="s">
        <v>1193</v>
      </c>
      <c r="G393" s="1" t="s">
        <v>1194</v>
      </c>
      <c r="H393" s="4" t="s">
        <v>201</v>
      </c>
      <c r="I393" s="4" t="s">
        <v>1195</v>
      </c>
      <c r="J393" s="12"/>
    </row>
    <row r="394" spans="1:10" x14ac:dyDescent="0.2">
      <c r="A394" s="4" t="s">
        <v>1213</v>
      </c>
      <c r="B394" s="1">
        <v>0.6</v>
      </c>
      <c r="C394" s="1" t="s">
        <v>7</v>
      </c>
      <c r="D394" s="1" t="str">
        <f>"24/29"</f>
        <v>24/29</v>
      </c>
      <c r="E394" s="1">
        <v>0.1</v>
      </c>
      <c r="F394" s="1" t="s">
        <v>1214</v>
      </c>
      <c r="G394" s="1" t="s">
        <v>1215</v>
      </c>
      <c r="H394" s="4" t="s">
        <v>28</v>
      </c>
      <c r="I394" s="4" t="s">
        <v>1216</v>
      </c>
      <c r="J394" s="12"/>
    </row>
    <row r="395" spans="1:10" x14ac:dyDescent="0.2">
      <c r="A395" s="4" t="s">
        <v>209</v>
      </c>
      <c r="B395" s="1">
        <v>0.5</v>
      </c>
      <c r="C395" s="1" t="s">
        <v>7</v>
      </c>
      <c r="D395" s="1" t="str">
        <f>"27/29"</f>
        <v>27/29</v>
      </c>
      <c r="E395" s="1">
        <v>0</v>
      </c>
      <c r="F395" s="1" t="s">
        <v>210</v>
      </c>
      <c r="G395" s="1" t="s">
        <v>211</v>
      </c>
      <c r="H395" s="4" t="s">
        <v>184</v>
      </c>
      <c r="I395" s="4" t="s">
        <v>108</v>
      </c>
      <c r="J395" s="12"/>
    </row>
    <row r="396" spans="1:10" ht="28.5" x14ac:dyDescent="0.2">
      <c r="A396" s="4" t="s">
        <v>303</v>
      </c>
      <c r="B396" s="1">
        <v>0.5</v>
      </c>
      <c r="C396" s="1" t="s">
        <v>7</v>
      </c>
      <c r="D396" s="1" t="str">
        <f>"331/344"</f>
        <v>331/344</v>
      </c>
      <c r="E396" s="1">
        <v>0.1</v>
      </c>
      <c r="F396" s="1" t="s">
        <v>304</v>
      </c>
      <c r="G396" s="1" t="s">
        <v>305</v>
      </c>
      <c r="H396" s="4" t="s">
        <v>191</v>
      </c>
      <c r="I396" s="4" t="s">
        <v>306</v>
      </c>
      <c r="J396" s="12"/>
    </row>
    <row r="397" spans="1:10" ht="28.5" x14ac:dyDescent="0.2">
      <c r="A397" s="4" t="s">
        <v>550</v>
      </c>
      <c r="B397" s="1">
        <v>0.5</v>
      </c>
      <c r="C397" s="1" t="s">
        <v>7</v>
      </c>
      <c r="D397" s="1" t="str">
        <f>"75/79"</f>
        <v>75/79</v>
      </c>
      <c r="E397" s="1">
        <v>0.2</v>
      </c>
      <c r="F397" s="1" t="s">
        <v>551</v>
      </c>
      <c r="G397" s="1" t="s">
        <v>552</v>
      </c>
      <c r="H397" s="4" t="s">
        <v>553</v>
      </c>
      <c r="I397" s="4" t="s">
        <v>554</v>
      </c>
      <c r="J397" s="12"/>
    </row>
    <row r="398" spans="1:10" x14ac:dyDescent="0.2">
      <c r="A398" s="4" t="s">
        <v>624</v>
      </c>
      <c r="B398" s="1">
        <v>0.5</v>
      </c>
      <c r="C398" s="1" t="s">
        <v>7</v>
      </c>
      <c r="D398" s="1" t="str">
        <f>"75/79"</f>
        <v>75/79</v>
      </c>
      <c r="E398" s="1">
        <v>0.2</v>
      </c>
      <c r="F398" s="1" t="s">
        <v>625</v>
      </c>
      <c r="G398" s="1" t="s">
        <v>626</v>
      </c>
      <c r="H398" s="4" t="s">
        <v>72</v>
      </c>
      <c r="I398" s="4" t="s">
        <v>450</v>
      </c>
      <c r="J398" s="12"/>
    </row>
    <row r="399" spans="1:10" x14ac:dyDescent="0.2">
      <c r="A399" s="4" t="s">
        <v>687</v>
      </c>
      <c r="B399" s="1">
        <v>0.5</v>
      </c>
      <c r="C399" s="1" t="s">
        <v>7</v>
      </c>
      <c r="D399" s="1" t="str">
        <f>"331/344"</f>
        <v>331/344</v>
      </c>
      <c r="E399" s="1">
        <v>0.1</v>
      </c>
      <c r="F399" s="1" t="s">
        <v>688</v>
      </c>
      <c r="G399" s="1" t="s">
        <v>689</v>
      </c>
      <c r="H399" s="4" t="s">
        <v>191</v>
      </c>
      <c r="I399" s="4" t="s">
        <v>306</v>
      </c>
      <c r="J399" s="12"/>
    </row>
    <row r="400" spans="1:10" ht="28.5" x14ac:dyDescent="0.2">
      <c r="A400" s="4" t="s">
        <v>739</v>
      </c>
      <c r="B400" s="1">
        <v>0.5</v>
      </c>
      <c r="C400" s="1" t="s">
        <v>7</v>
      </c>
      <c r="D400" s="1" t="str">
        <f>"331/344"</f>
        <v>331/344</v>
      </c>
      <c r="E400" s="1">
        <v>0</v>
      </c>
      <c r="F400" s="1" t="s">
        <v>740</v>
      </c>
      <c r="G400" s="1" t="s">
        <v>9</v>
      </c>
      <c r="H400" s="4" t="s">
        <v>28</v>
      </c>
      <c r="I400" s="4" t="s">
        <v>741</v>
      </c>
      <c r="J400" s="12"/>
    </row>
    <row r="401" spans="1:10" x14ac:dyDescent="0.2">
      <c r="A401" s="4" t="s">
        <v>810</v>
      </c>
      <c r="B401" s="1">
        <v>0.5</v>
      </c>
      <c r="C401" s="1" t="s">
        <v>7</v>
      </c>
      <c r="D401" s="1" t="str">
        <f>"27/29"</f>
        <v>27/29</v>
      </c>
      <c r="E401" s="1">
        <v>0</v>
      </c>
      <c r="F401" s="1" t="s">
        <v>811</v>
      </c>
      <c r="G401" s="1" t="s">
        <v>811</v>
      </c>
      <c r="H401" s="4" t="s">
        <v>10</v>
      </c>
      <c r="I401" s="4" t="s">
        <v>812</v>
      </c>
      <c r="J401" s="12"/>
    </row>
    <row r="402" spans="1:10" x14ac:dyDescent="0.2">
      <c r="A402" s="4" t="s">
        <v>829</v>
      </c>
      <c r="B402" s="1">
        <v>0.5</v>
      </c>
      <c r="C402" s="1" t="s">
        <v>7</v>
      </c>
      <c r="D402" s="1" t="str">
        <f>"64/73"</f>
        <v>64/73</v>
      </c>
      <c r="E402" s="1">
        <v>0</v>
      </c>
      <c r="F402" s="1" t="s">
        <v>830</v>
      </c>
      <c r="G402" s="1" t="s">
        <v>831</v>
      </c>
      <c r="H402" s="4" t="s">
        <v>28</v>
      </c>
      <c r="I402" s="4" t="s">
        <v>163</v>
      </c>
      <c r="J402" s="12"/>
    </row>
    <row r="403" spans="1:10" x14ac:dyDescent="0.2">
      <c r="A403" s="4" t="s">
        <v>881</v>
      </c>
      <c r="B403" s="1">
        <v>0.5</v>
      </c>
      <c r="C403" s="1" t="s">
        <v>7</v>
      </c>
      <c r="D403" s="1" t="str">
        <f>"331/344"</f>
        <v>331/344</v>
      </c>
      <c r="E403" s="1">
        <v>0</v>
      </c>
      <c r="F403" s="1" t="s">
        <v>882</v>
      </c>
      <c r="G403" s="1" t="s">
        <v>883</v>
      </c>
      <c r="H403" s="4" t="s">
        <v>21</v>
      </c>
      <c r="I403" s="4" t="s">
        <v>884</v>
      </c>
      <c r="J403" s="12"/>
    </row>
    <row r="404" spans="1:10" x14ac:dyDescent="0.2">
      <c r="A404" s="4" t="s">
        <v>898</v>
      </c>
      <c r="B404" s="1">
        <v>0.5</v>
      </c>
      <c r="C404" s="1" t="s">
        <v>7</v>
      </c>
      <c r="D404" s="1" t="str">
        <f>"331/344"</f>
        <v>331/344</v>
      </c>
      <c r="E404" s="1">
        <v>0.1</v>
      </c>
      <c r="F404" s="1" t="s">
        <v>899</v>
      </c>
      <c r="G404" s="1" t="s">
        <v>900</v>
      </c>
      <c r="H404" s="4" t="s">
        <v>39</v>
      </c>
      <c r="I404" s="4" t="s">
        <v>884</v>
      </c>
      <c r="J404" s="12"/>
    </row>
    <row r="405" spans="1:10" x14ac:dyDescent="0.2">
      <c r="A405" s="4" t="s">
        <v>1240</v>
      </c>
      <c r="B405" s="1">
        <v>0.5</v>
      </c>
      <c r="C405" s="1" t="s">
        <v>7</v>
      </c>
      <c r="D405" s="1" t="str">
        <f>"331/344"</f>
        <v>331/344</v>
      </c>
      <c r="E405" s="1">
        <v>0.1</v>
      </c>
      <c r="F405" s="1" t="s">
        <v>1241</v>
      </c>
      <c r="G405" s="1" t="s">
        <v>1242</v>
      </c>
      <c r="H405" s="4" t="s">
        <v>28</v>
      </c>
      <c r="I405" s="4" t="s">
        <v>1243</v>
      </c>
      <c r="J405" s="12"/>
    </row>
    <row r="406" spans="1:10" ht="28.5" x14ac:dyDescent="0.2">
      <c r="A406" s="4" t="s">
        <v>224</v>
      </c>
      <c r="B406" s="1">
        <v>0.4</v>
      </c>
      <c r="C406" s="1" t="s">
        <v>7</v>
      </c>
      <c r="D406" s="1" t="str">
        <f>"19/21"</f>
        <v>19/21</v>
      </c>
      <c r="E406" s="1">
        <v>0</v>
      </c>
      <c r="F406" s="1" t="s">
        <v>225</v>
      </c>
      <c r="G406" s="1" t="s">
        <v>226</v>
      </c>
      <c r="H406" s="4" t="s">
        <v>227</v>
      </c>
      <c r="I406" s="4" t="s">
        <v>228</v>
      </c>
      <c r="J406" s="12"/>
    </row>
    <row r="407" spans="1:10" ht="28.5" x14ac:dyDescent="0.2">
      <c r="A407" s="4" t="s">
        <v>562</v>
      </c>
      <c r="B407" s="1">
        <v>0.4</v>
      </c>
      <c r="C407" s="1" t="s">
        <v>7</v>
      </c>
      <c r="D407" s="1" t="str">
        <f>"342/344"</f>
        <v>342/344</v>
      </c>
      <c r="E407" s="1">
        <v>0</v>
      </c>
      <c r="F407" s="1" t="s">
        <v>563</v>
      </c>
      <c r="G407" s="1" t="s">
        <v>563</v>
      </c>
      <c r="H407" s="4" t="s">
        <v>120</v>
      </c>
      <c r="I407" s="4" t="s">
        <v>564</v>
      </c>
      <c r="J407" s="12"/>
    </row>
    <row r="408" spans="1:10" ht="28.5" x14ac:dyDescent="0.2">
      <c r="A408" s="4" t="s">
        <v>69</v>
      </c>
      <c r="B408" s="1">
        <v>0.3</v>
      </c>
      <c r="C408" s="1" t="s">
        <v>7</v>
      </c>
      <c r="D408" s="1" t="str">
        <f>"77/79"</f>
        <v>77/79</v>
      </c>
      <c r="E408" s="1">
        <v>0.1</v>
      </c>
      <c r="F408" s="1" t="s">
        <v>70</v>
      </c>
      <c r="G408" s="1" t="s">
        <v>71</v>
      </c>
      <c r="H408" s="4" t="s">
        <v>72</v>
      </c>
      <c r="I408" s="4" t="s">
        <v>73</v>
      </c>
      <c r="J408" s="12"/>
    </row>
    <row r="409" spans="1:10" x14ac:dyDescent="0.2">
      <c r="A409" s="4" t="s">
        <v>385</v>
      </c>
      <c r="B409" s="1">
        <v>0.3</v>
      </c>
      <c r="C409" s="1" t="s">
        <v>7</v>
      </c>
      <c r="D409" s="1" t="str">
        <f>"20/21"</f>
        <v>20/21</v>
      </c>
      <c r="E409" s="1">
        <v>0.1</v>
      </c>
      <c r="F409" s="1" t="s">
        <v>386</v>
      </c>
      <c r="G409" s="1" t="s">
        <v>387</v>
      </c>
      <c r="H409" s="4" t="s">
        <v>72</v>
      </c>
      <c r="I409" s="4" t="s">
        <v>388</v>
      </c>
      <c r="J409" s="12"/>
    </row>
    <row r="410" spans="1:10" x14ac:dyDescent="0.2">
      <c r="A410" s="4" t="s">
        <v>421</v>
      </c>
      <c r="B410" s="1">
        <v>0.3</v>
      </c>
      <c r="C410" s="1" t="s">
        <v>7</v>
      </c>
      <c r="D410" s="1" t="str">
        <f>"77/79"</f>
        <v>77/79</v>
      </c>
      <c r="E410" s="1">
        <v>0</v>
      </c>
      <c r="F410" s="1" t="s">
        <v>422</v>
      </c>
      <c r="G410" s="1" t="s">
        <v>422</v>
      </c>
      <c r="H410" s="4" t="s">
        <v>423</v>
      </c>
      <c r="I410" s="4" t="s">
        <v>424</v>
      </c>
      <c r="J410" s="12"/>
    </row>
    <row r="411" spans="1:10" ht="28.5" x14ac:dyDescent="0.2">
      <c r="A411" s="4" t="s">
        <v>615</v>
      </c>
      <c r="B411" s="1">
        <v>0.3</v>
      </c>
      <c r="C411" s="1" t="s">
        <v>7</v>
      </c>
      <c r="D411" s="1" t="str">
        <f>"24/26"</f>
        <v>24/26</v>
      </c>
      <c r="E411" s="1">
        <v>0.3</v>
      </c>
      <c r="F411" s="1" t="s">
        <v>616</v>
      </c>
      <c r="G411" s="1" t="s">
        <v>616</v>
      </c>
      <c r="H411" s="4" t="s">
        <v>21</v>
      </c>
      <c r="I411" s="4" t="s">
        <v>617</v>
      </c>
      <c r="J411" s="12"/>
    </row>
    <row r="412" spans="1:10" ht="28.5" x14ac:dyDescent="0.2">
      <c r="A412" s="4" t="s">
        <v>972</v>
      </c>
      <c r="B412" s="1">
        <v>0.3</v>
      </c>
      <c r="C412" s="1" t="s">
        <v>7</v>
      </c>
      <c r="D412" s="1" t="str">
        <f>"29/29"</f>
        <v>29/29</v>
      </c>
      <c r="E412" s="1">
        <v>0.3</v>
      </c>
      <c r="F412" s="1" t="s">
        <v>973</v>
      </c>
      <c r="G412" s="1" t="s">
        <v>974</v>
      </c>
      <c r="H412" s="4" t="s">
        <v>21</v>
      </c>
      <c r="I412" s="4" t="s">
        <v>287</v>
      </c>
      <c r="J412" s="12"/>
    </row>
    <row r="413" spans="1:10" x14ac:dyDescent="0.2">
      <c r="A413" s="4" t="s">
        <v>178</v>
      </c>
      <c r="B413" s="1">
        <v>0.2</v>
      </c>
      <c r="C413" s="1" t="s">
        <v>7</v>
      </c>
      <c r="D413" s="1" t="str">
        <f>"90/90"</f>
        <v>90/90</v>
      </c>
      <c r="E413" s="1" t="s">
        <v>9</v>
      </c>
      <c r="F413" s="1" t="s">
        <v>179</v>
      </c>
      <c r="G413" s="1" t="s">
        <v>9</v>
      </c>
      <c r="H413" s="4" t="s">
        <v>28</v>
      </c>
      <c r="I413" s="4" t="s">
        <v>180</v>
      </c>
      <c r="J413" s="12"/>
    </row>
    <row r="414" spans="1:10" x14ac:dyDescent="0.2">
      <c r="A414" s="4" t="s">
        <v>874</v>
      </c>
      <c r="B414" s="1">
        <v>0.2</v>
      </c>
      <c r="C414" s="1" t="s">
        <v>7</v>
      </c>
      <c r="D414" s="1" t="str">
        <f>"79/79"</f>
        <v>79/79</v>
      </c>
      <c r="E414" s="1">
        <v>0</v>
      </c>
      <c r="F414" s="1" t="s">
        <v>875</v>
      </c>
      <c r="G414" s="1" t="s">
        <v>875</v>
      </c>
      <c r="H414" s="4" t="s">
        <v>28</v>
      </c>
      <c r="I414" s="4" t="s">
        <v>876</v>
      </c>
      <c r="J414" s="12"/>
    </row>
    <row r="415" spans="1:10" x14ac:dyDescent="0.2">
      <c r="A415" s="4" t="s">
        <v>1091</v>
      </c>
      <c r="B415" s="1">
        <v>0.2</v>
      </c>
      <c r="C415" s="1" t="s">
        <v>7</v>
      </c>
      <c r="D415" s="1" t="str">
        <f>"20/21"</f>
        <v>20/21</v>
      </c>
      <c r="E415" s="1">
        <v>0.1</v>
      </c>
      <c r="F415" s="1" t="s">
        <v>1092</v>
      </c>
      <c r="G415" s="1" t="s">
        <v>1093</v>
      </c>
      <c r="H415" s="4" t="s">
        <v>28</v>
      </c>
      <c r="I415" s="4" t="s">
        <v>1094</v>
      </c>
      <c r="J415" s="12"/>
    </row>
    <row r="416" spans="1:10" ht="28.5" x14ac:dyDescent="0.2">
      <c r="A416" s="4" t="s">
        <v>1308</v>
      </c>
      <c r="B416" s="1">
        <v>0.2</v>
      </c>
      <c r="C416" s="1" t="s">
        <v>7</v>
      </c>
      <c r="D416" s="1" t="str">
        <f>"25/26"</f>
        <v>25/26</v>
      </c>
      <c r="E416" s="1" t="s">
        <v>9</v>
      </c>
      <c r="F416" s="1" t="s">
        <v>1309</v>
      </c>
      <c r="G416" s="1" t="s">
        <v>1309</v>
      </c>
      <c r="H416" s="4" t="s">
        <v>28</v>
      </c>
      <c r="I416" s="4" t="s">
        <v>1310</v>
      </c>
      <c r="J416" s="12"/>
    </row>
    <row r="417" spans="1:10" x14ac:dyDescent="0.2">
      <c r="A417" s="4" t="s">
        <v>6</v>
      </c>
      <c r="B417" s="1">
        <v>0.1</v>
      </c>
      <c r="C417" s="1" t="s">
        <v>7</v>
      </c>
      <c r="D417" s="1" t="str">
        <f>"68/68"</f>
        <v>68/68</v>
      </c>
      <c r="E417" s="1">
        <v>0</v>
      </c>
      <c r="F417" s="1" t="s">
        <v>8</v>
      </c>
      <c r="G417" s="1" t="s">
        <v>9</v>
      </c>
      <c r="H417" s="4" t="s">
        <v>10</v>
      </c>
      <c r="I417" s="4" t="s">
        <v>11</v>
      </c>
      <c r="J417" s="12"/>
    </row>
    <row r="418" spans="1:10" x14ac:dyDescent="0.2">
      <c r="A418" s="4" t="s">
        <v>23</v>
      </c>
      <c r="B418" s="1">
        <v>0</v>
      </c>
      <c r="C418" s="1" t="s">
        <v>7</v>
      </c>
      <c r="D418" s="1" t="str">
        <f>"21/21"</f>
        <v>21/21</v>
      </c>
      <c r="E418" s="1">
        <v>0</v>
      </c>
      <c r="F418" s="1" t="s">
        <v>24</v>
      </c>
      <c r="G418" s="1" t="s">
        <v>24</v>
      </c>
      <c r="H418" s="4" t="s">
        <v>10</v>
      </c>
      <c r="I418" s="4" t="s">
        <v>25</v>
      </c>
      <c r="J418" s="12"/>
    </row>
    <row r="419" spans="1:10" x14ac:dyDescent="0.2">
      <c r="A419" s="4" t="s">
        <v>98</v>
      </c>
      <c r="B419" s="1">
        <v>0</v>
      </c>
      <c r="C419" s="1" t="s">
        <v>7</v>
      </c>
      <c r="D419" s="1" t="str">
        <f>"21/21"</f>
        <v>21/21</v>
      </c>
      <c r="E419" s="1">
        <v>0</v>
      </c>
      <c r="F419" s="1" t="s">
        <v>99</v>
      </c>
      <c r="G419" s="1" t="s">
        <v>9</v>
      </c>
      <c r="H419" s="4" t="s">
        <v>21</v>
      </c>
      <c r="I419" s="4" t="s">
        <v>100</v>
      </c>
      <c r="J419" s="12"/>
    </row>
    <row r="420" spans="1:10" x14ac:dyDescent="0.2">
      <c r="A420" s="6" t="s">
        <v>150</v>
      </c>
      <c r="B420" s="1">
        <v>0</v>
      </c>
      <c r="C420" s="1" t="s">
        <v>7</v>
      </c>
      <c r="D420" s="1" t="str">
        <f>"26/26"</f>
        <v>26/26</v>
      </c>
      <c r="E420" s="1">
        <v>0</v>
      </c>
      <c r="F420" s="1" t="s">
        <v>151</v>
      </c>
      <c r="G420" s="1" t="s">
        <v>9</v>
      </c>
      <c r="H420" s="4" t="s">
        <v>72</v>
      </c>
      <c r="I420" s="4" t="s">
        <v>152</v>
      </c>
      <c r="J420" s="12"/>
    </row>
    <row r="421" spans="1:10" x14ac:dyDescent="0.2">
      <c r="A421" s="4" t="s">
        <v>961</v>
      </c>
      <c r="B421" s="1" t="s">
        <v>9</v>
      </c>
      <c r="C421" s="1" t="s">
        <v>9</v>
      </c>
      <c r="D421" s="1" t="s">
        <v>9</v>
      </c>
      <c r="E421" s="1" t="s">
        <v>9</v>
      </c>
      <c r="F421" s="1" t="s">
        <v>962</v>
      </c>
      <c r="G421" s="1" t="s">
        <v>9</v>
      </c>
      <c r="H421" s="4" t="s">
        <v>28</v>
      </c>
      <c r="I421" s="4" t="s">
        <v>108</v>
      </c>
      <c r="J421" s="12"/>
    </row>
    <row r="422" spans="1:10" x14ac:dyDescent="0.2">
      <c r="A422" s="4" t="s">
        <v>1168</v>
      </c>
      <c r="B422" s="1" t="s">
        <v>9</v>
      </c>
      <c r="C422" s="1" t="s">
        <v>9</v>
      </c>
      <c r="D422" s="1" t="s">
        <v>9</v>
      </c>
      <c r="E422" s="1">
        <v>1.5</v>
      </c>
      <c r="F422" s="1" t="s">
        <v>9</v>
      </c>
      <c r="G422" s="1" t="s">
        <v>1169</v>
      </c>
      <c r="H422" s="4" t="s">
        <v>64</v>
      </c>
      <c r="I422" s="4" t="s">
        <v>60</v>
      </c>
      <c r="J422" s="12"/>
    </row>
    <row r="423" spans="1:10" ht="28.5" x14ac:dyDescent="0.2">
      <c r="A423" s="14" t="s">
        <v>1315</v>
      </c>
      <c r="B423" s="8"/>
      <c r="C423" s="8"/>
      <c r="D423" s="8"/>
      <c r="E423" s="8"/>
      <c r="F423" s="15" t="s">
        <v>1316</v>
      </c>
      <c r="G423" s="15" t="s">
        <v>1316</v>
      </c>
      <c r="H423" s="14"/>
      <c r="I423" s="9"/>
      <c r="J423" s="13" t="s">
        <v>1322</v>
      </c>
    </row>
  </sheetData>
  <sortState ref="A3:I423">
    <sortCondition descending="1" ref="B3:B423"/>
  </sortState>
  <mergeCells count="1">
    <mergeCell ref="A1:I1"/>
  </mergeCells>
  <phoneticPr fontId="2" type="noConversion"/>
  <conditionalFormatting sqref="A421:A423 A2:A419">
    <cfRule type="duplicateValues" dxfId="14" priority="3"/>
  </conditionalFormatting>
  <conditionalFormatting sqref="A420">
    <cfRule type="duplicateValues" dxfId="13" priority="1"/>
  </conditionalFormatting>
  <conditionalFormatting sqref="A420">
    <cfRule type="duplicateValues" dxfId="12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xkfw</dc:creator>
  <cp:lastModifiedBy>xkfw</cp:lastModifiedBy>
  <dcterms:created xsi:type="dcterms:W3CDTF">2023-11-13T06:01:00Z</dcterms:created>
  <dcterms:modified xsi:type="dcterms:W3CDTF">2023-11-17T06:19:16Z</dcterms:modified>
</cp:coreProperties>
</file>